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24" windowWidth="15132" windowHeight="8892" tabRatio="927" activeTab="4"/>
  </bookViews>
  <sheets>
    <sheet name="1" sheetId="1" r:id="rId1"/>
    <sheet name="2" sheetId="9" r:id="rId2"/>
    <sheet name="3" sheetId="8" r:id="rId3"/>
    <sheet name="4" sheetId="7" r:id="rId4"/>
    <sheet name="7" sheetId="6" r:id="rId5"/>
    <sheet name="8" sheetId="5" r:id="rId6"/>
    <sheet name="9" sheetId="4" r:id="rId7"/>
    <sheet name="10" sheetId="10" r:id="rId8"/>
    <sheet name="11" sheetId="15" r:id="rId9"/>
    <sheet name="12" sheetId="14" r:id="rId10"/>
    <sheet name="13" sheetId="13" r:id="rId11"/>
    <sheet name="14" sheetId="12" r:id="rId12"/>
    <sheet name="15" sheetId="11" r:id="rId13"/>
    <sheet name="16" sheetId="31" r:id="rId14"/>
    <sheet name="17" sheetId="30" r:id="rId15"/>
    <sheet name="18" sheetId="29" r:id="rId16"/>
    <sheet name="19" sheetId="28" r:id="rId17"/>
    <sheet name="20" sheetId="27" r:id="rId18"/>
    <sheet name="21" sheetId="25" r:id="rId19"/>
    <sheet name="22" sheetId="24" r:id="rId20"/>
    <sheet name="23" sheetId="23" r:id="rId21"/>
    <sheet name="24" sheetId="22" r:id="rId22"/>
    <sheet name="25" sheetId="21" r:id="rId23"/>
    <sheet name="26" sheetId="20" r:id="rId24"/>
    <sheet name="27" sheetId="19" r:id="rId25"/>
    <sheet name="28" sheetId="18" r:id="rId26"/>
    <sheet name="29" sheetId="17" r:id="rId27"/>
    <sheet name="31" sheetId="35" r:id="rId28"/>
    <sheet name="32" sheetId="33" r:id="rId29"/>
    <sheet name="33" sheetId="32" r:id="rId30"/>
    <sheet name="34" sheetId="16" r:id="rId31"/>
    <sheet name="49" sheetId="39" r:id="rId32"/>
    <sheet name="50" sheetId="38" r:id="rId33"/>
    <sheet name="51" sheetId="37" r:id="rId34"/>
    <sheet name="52" sheetId="36" r:id="rId35"/>
    <sheet name="53" sheetId="57" r:id="rId36"/>
    <sheet name="54" sheetId="56" r:id="rId37"/>
    <sheet name="55" sheetId="55" r:id="rId38"/>
    <sheet name="56" sheetId="53" r:id="rId39"/>
    <sheet name="57" sheetId="52" r:id="rId40"/>
    <sheet name="58" sheetId="51" r:id="rId41"/>
    <sheet name="59" sheetId="64" r:id="rId42"/>
    <sheet name="60" sheetId="63" r:id="rId43"/>
    <sheet name="61" sheetId="62" r:id="rId44"/>
    <sheet name="63" sheetId="60" r:id="rId45"/>
    <sheet name="64" sheetId="59" r:id="rId46"/>
    <sheet name="65" sheetId="75" r:id="rId47"/>
    <sheet name="66" sheetId="74" r:id="rId48"/>
    <sheet name="67" sheetId="73" r:id="rId49"/>
    <sheet name="68" sheetId="72" r:id="rId50"/>
    <sheet name="69" sheetId="71" r:id="rId51"/>
    <sheet name="70" sheetId="85" r:id="rId52"/>
    <sheet name="71" sheetId="84" r:id="rId53"/>
    <sheet name="72" sheetId="83" r:id="rId54"/>
    <sheet name="73" sheetId="82" r:id="rId55"/>
    <sheet name="Лист8" sheetId="58" state="hidden" r:id="rId56"/>
    <sheet name="тариф" sheetId="2" state="hidden" r:id="rId57"/>
    <sheet name="площадь" sheetId="3" state="hidden" r:id="rId58"/>
    <sheet name="Лист1" sheetId="94" r:id="rId59"/>
  </sheets>
  <calcPr calcId="125725"/>
</workbook>
</file>

<file path=xl/calcChain.xml><?xml version="1.0" encoding="utf-8"?>
<calcChain xmlns="http://schemas.openxmlformats.org/spreadsheetml/2006/main">
  <c r="D20" i="82"/>
  <c r="D19"/>
  <c r="D18"/>
  <c r="D17"/>
  <c r="D16"/>
  <c r="D15"/>
  <c r="D14"/>
  <c r="D12"/>
  <c r="D11"/>
  <c r="D8"/>
  <c r="D7"/>
  <c r="D20" i="83"/>
  <c r="D19"/>
  <c r="D18"/>
  <c r="D17"/>
  <c r="D16"/>
  <c r="D15"/>
  <c r="D14"/>
  <c r="D12"/>
  <c r="D11"/>
  <c r="D8"/>
  <c r="D7"/>
  <c r="D20" i="84"/>
  <c r="D19"/>
  <c r="D18"/>
  <c r="D17"/>
  <c r="D16"/>
  <c r="D15"/>
  <c r="D14"/>
  <c r="D12"/>
  <c r="D11"/>
  <c r="D8"/>
  <c r="D7"/>
  <c r="D20" i="85"/>
  <c r="D19"/>
  <c r="D18"/>
  <c r="D17"/>
  <c r="D16"/>
  <c r="D15"/>
  <c r="D14"/>
  <c r="D12"/>
  <c r="D11"/>
  <c r="D8"/>
  <c r="D7"/>
  <c r="D20" i="71"/>
  <c r="D19"/>
  <c r="D18"/>
  <c r="D17"/>
  <c r="D16"/>
  <c r="D15"/>
  <c r="D14"/>
  <c r="D12"/>
  <c r="D11"/>
  <c r="D8"/>
  <c r="D7"/>
  <c r="D20" i="72"/>
  <c r="D19"/>
  <c r="D18"/>
  <c r="D17"/>
  <c r="D16"/>
  <c r="D15"/>
  <c r="D14"/>
  <c r="D12"/>
  <c r="D11"/>
  <c r="D8"/>
  <c r="D7"/>
  <c r="D20" i="73"/>
  <c r="D19"/>
  <c r="D18"/>
  <c r="D17"/>
  <c r="D16"/>
  <c r="D15"/>
  <c r="D14"/>
  <c r="D12"/>
  <c r="D11"/>
  <c r="D8"/>
  <c r="D7"/>
  <c r="D20" i="74"/>
  <c r="D19"/>
  <c r="D18"/>
  <c r="D17"/>
  <c r="D16"/>
  <c r="D15"/>
  <c r="D14"/>
  <c r="D12"/>
  <c r="D11"/>
  <c r="D8"/>
  <c r="D7"/>
  <c r="D20" i="75"/>
  <c r="D19"/>
  <c r="D18"/>
  <c r="D17"/>
  <c r="D16"/>
  <c r="D15"/>
  <c r="D14"/>
  <c r="D12"/>
  <c r="D11"/>
  <c r="D8"/>
  <c r="D7"/>
  <c r="D20" i="59"/>
  <c r="D19"/>
  <c r="D18"/>
  <c r="D17"/>
  <c r="D16"/>
  <c r="D15"/>
  <c r="D14"/>
  <c r="D12"/>
  <c r="D11"/>
  <c r="D8"/>
  <c r="D7"/>
  <c r="D6" s="1"/>
  <c r="D20" i="60"/>
  <c r="D19"/>
  <c r="D18"/>
  <c r="D17"/>
  <c r="D16"/>
  <c r="D15"/>
  <c r="D14"/>
  <c r="D12"/>
  <c r="D11"/>
  <c r="D8"/>
  <c r="D7"/>
  <c r="D20" i="62"/>
  <c r="D19"/>
  <c r="D18"/>
  <c r="D17"/>
  <c r="D16"/>
  <c r="D15"/>
  <c r="D14"/>
  <c r="D12"/>
  <c r="D11"/>
  <c r="D8"/>
  <c r="D7"/>
  <c r="D20" i="63"/>
  <c r="D19"/>
  <c r="D18"/>
  <c r="D17"/>
  <c r="D16"/>
  <c r="D15"/>
  <c r="D14"/>
  <c r="D12"/>
  <c r="D11"/>
  <c r="D8"/>
  <c r="D7"/>
  <c r="D20" i="64"/>
  <c r="D19"/>
  <c r="D18"/>
  <c r="D17"/>
  <c r="D16"/>
  <c r="D15"/>
  <c r="D14"/>
  <c r="D12"/>
  <c r="D11"/>
  <c r="D8"/>
  <c r="D7"/>
  <c r="D20" i="51"/>
  <c r="D19"/>
  <c r="D18"/>
  <c r="D17"/>
  <c r="D16"/>
  <c r="D15"/>
  <c r="D14"/>
  <c r="D12"/>
  <c r="D11"/>
  <c r="D8"/>
  <c r="D7"/>
  <c r="D20" i="52"/>
  <c r="D19"/>
  <c r="D18"/>
  <c r="D17"/>
  <c r="D16"/>
  <c r="D15"/>
  <c r="D14"/>
  <c r="D12"/>
  <c r="D11"/>
  <c r="D8"/>
  <c r="D7"/>
  <c r="D20" i="53"/>
  <c r="D19"/>
  <c r="D18"/>
  <c r="D17"/>
  <c r="D16"/>
  <c r="D15"/>
  <c r="D14"/>
  <c r="D12"/>
  <c r="D11"/>
  <c r="D20" i="55"/>
  <c r="D19"/>
  <c r="D18"/>
  <c r="D17"/>
  <c r="D16"/>
  <c r="D15"/>
  <c r="D14"/>
  <c r="D12"/>
  <c r="D11"/>
  <c r="D8"/>
  <c r="D7"/>
  <c r="D20" i="56"/>
  <c r="D19"/>
  <c r="D18"/>
  <c r="D17"/>
  <c r="D16"/>
  <c r="D15"/>
  <c r="D14"/>
  <c r="D12"/>
  <c r="D11"/>
  <c r="D8"/>
  <c r="D7"/>
  <c r="D20" i="57"/>
  <c r="D19"/>
  <c r="D18"/>
  <c r="D17"/>
  <c r="D16"/>
  <c r="D15"/>
  <c r="D14"/>
  <c r="D12"/>
  <c r="D11"/>
  <c r="D8"/>
  <c r="D7"/>
  <c r="D20" i="36"/>
  <c r="D19"/>
  <c r="D18"/>
  <c r="D17"/>
  <c r="D16"/>
  <c r="D15"/>
  <c r="D14"/>
  <c r="D12"/>
  <c r="D11"/>
  <c r="D8"/>
  <c r="D7"/>
  <c r="D20" i="37"/>
  <c r="D19"/>
  <c r="D18"/>
  <c r="D17"/>
  <c r="D16"/>
  <c r="D15"/>
  <c r="D14"/>
  <c r="D12"/>
  <c r="D11"/>
  <c r="D8"/>
  <c r="D7"/>
  <c r="D20" i="38"/>
  <c r="D19"/>
  <c r="D18"/>
  <c r="D17"/>
  <c r="D16"/>
  <c r="D15"/>
  <c r="D14"/>
  <c r="D12"/>
  <c r="D11"/>
  <c r="D8"/>
  <c r="D7"/>
  <c r="D20" i="39"/>
  <c r="D19"/>
  <c r="D18"/>
  <c r="D17"/>
  <c r="D16"/>
  <c r="D15"/>
  <c r="D14"/>
  <c r="D12"/>
  <c r="D11"/>
  <c r="D8"/>
  <c r="D7"/>
  <c r="D20" i="32"/>
  <c r="D19"/>
  <c r="D18"/>
  <c r="D17"/>
  <c r="D16"/>
  <c r="D15"/>
  <c r="D14"/>
  <c r="D12"/>
  <c r="D11"/>
  <c r="D8"/>
  <c r="D7"/>
  <c r="D20" i="33"/>
  <c r="D19"/>
  <c r="D18"/>
  <c r="D17"/>
  <c r="D16"/>
  <c r="D15"/>
  <c r="D14"/>
  <c r="D12"/>
  <c r="D11"/>
  <c r="D8"/>
  <c r="D7"/>
  <c r="D20" i="19"/>
  <c r="D19"/>
  <c r="D18"/>
  <c r="D17"/>
  <c r="D16"/>
  <c r="D15"/>
  <c r="D14"/>
  <c r="D12"/>
  <c r="D11"/>
  <c r="D8"/>
  <c r="D7"/>
  <c r="D20" i="20"/>
  <c r="D19"/>
  <c r="D18"/>
  <c r="D17"/>
  <c r="D16"/>
  <c r="D14"/>
  <c r="D13"/>
  <c r="D12"/>
  <c r="D11"/>
  <c r="D8"/>
  <c r="D7"/>
  <c r="D20" i="21"/>
  <c r="D19"/>
  <c r="D18"/>
  <c r="D17"/>
  <c r="D16"/>
  <c r="D15"/>
  <c r="D14"/>
  <c r="D12"/>
  <c r="D11"/>
  <c r="D8"/>
  <c r="D7"/>
  <c r="D7" i="22"/>
  <c r="D8"/>
  <c r="D11"/>
  <c r="D12"/>
  <c r="D14"/>
  <c r="D15"/>
  <c r="D16"/>
  <c r="D17"/>
  <c r="D18"/>
  <c r="D19"/>
  <c r="D20"/>
  <c r="D32" i="28"/>
  <c r="D34" i="27"/>
  <c r="D34" i="82"/>
  <c r="D35" s="1"/>
  <c r="D21"/>
  <c r="D6"/>
  <c r="D34" i="83"/>
  <c r="D35" s="1"/>
  <c r="D21"/>
  <c r="D6"/>
  <c r="D34" i="84"/>
  <c r="D35" s="1"/>
  <c r="D21"/>
  <c r="D6"/>
  <c r="D34" i="85"/>
  <c r="D35" s="1"/>
  <c r="D21"/>
  <c r="D6"/>
  <c r="D34" i="71"/>
  <c r="D35" s="1"/>
  <c r="D21"/>
  <c r="D6"/>
  <c r="D34" i="72"/>
  <c r="D35" s="1"/>
  <c r="D21"/>
  <c r="D6"/>
  <c r="D34" i="73"/>
  <c r="D35" s="1"/>
  <c r="D21"/>
  <c r="D6"/>
  <c r="D34" i="74"/>
  <c r="D35" s="1"/>
  <c r="D21"/>
  <c r="D6"/>
  <c r="D34" i="75"/>
  <c r="D35" s="1"/>
  <c r="D21"/>
  <c r="D6"/>
  <c r="D34" i="59"/>
  <c r="D35" s="1"/>
  <c r="D21"/>
  <c r="D34" i="60"/>
  <c r="D35" s="1"/>
  <c r="D21"/>
  <c r="D6"/>
  <c r="D34" i="62"/>
  <c r="D35" s="1"/>
  <c r="D6"/>
  <c r="D34" i="63"/>
  <c r="D35" s="1"/>
  <c r="D21"/>
  <c r="D6"/>
  <c r="D8" i="53"/>
  <c r="D7"/>
  <c r="D20" i="16"/>
  <c r="D19"/>
  <c r="D18"/>
  <c r="D17"/>
  <c r="D16"/>
  <c r="D15"/>
  <c r="D14"/>
  <c r="D12"/>
  <c r="D11"/>
  <c r="D8"/>
  <c r="D7"/>
  <c r="D20" i="27"/>
  <c r="D19"/>
  <c r="D18"/>
  <c r="D17"/>
  <c r="D16"/>
  <c r="D15"/>
  <c r="D14"/>
  <c r="D12"/>
  <c r="D11"/>
  <c r="D8"/>
  <c r="D7"/>
  <c r="D20" i="28"/>
  <c r="D19"/>
  <c r="D18"/>
  <c r="D21" s="1"/>
  <c r="D17"/>
  <c r="D16"/>
  <c r="D15"/>
  <c r="D14"/>
  <c r="D12"/>
  <c r="D11"/>
  <c r="D8"/>
  <c r="D7"/>
  <c r="D20" i="29"/>
  <c r="D19"/>
  <c r="D18"/>
  <c r="D17"/>
  <c r="D16"/>
  <c r="D15"/>
  <c r="D14"/>
  <c r="D12"/>
  <c r="D11"/>
  <c r="D8"/>
  <c r="D7"/>
  <c r="D20" i="30"/>
  <c r="D19"/>
  <c r="D18"/>
  <c r="D17"/>
  <c r="D16"/>
  <c r="D15"/>
  <c r="D14"/>
  <c r="D12"/>
  <c r="D11"/>
  <c r="D8"/>
  <c r="D7"/>
  <c r="D20" i="31"/>
  <c r="D19"/>
  <c r="D18"/>
  <c r="D17"/>
  <c r="D16"/>
  <c r="D15"/>
  <c r="D14"/>
  <c r="D12"/>
  <c r="D11"/>
  <c r="D8"/>
  <c r="D7"/>
  <c r="D24" i="11"/>
  <c r="D23"/>
  <c r="D22"/>
  <c r="D21"/>
  <c r="D20"/>
  <c r="D19"/>
  <c r="D18"/>
  <c r="D17"/>
  <c r="D16"/>
  <c r="D14"/>
  <c r="D13"/>
  <c r="D10"/>
  <c r="D9"/>
  <c r="D8" i="12"/>
  <c r="D7"/>
  <c r="D20"/>
  <c r="D19"/>
  <c r="D18"/>
  <c r="D17"/>
  <c r="D16"/>
  <c r="D15"/>
  <c r="D14"/>
  <c r="D12"/>
  <c r="D11"/>
  <c r="D24" i="13"/>
  <c r="D23"/>
  <c r="D22"/>
  <c r="D21"/>
  <c r="D20"/>
  <c r="D19"/>
  <c r="D18"/>
  <c r="D17"/>
  <c r="D16"/>
  <c r="D14"/>
  <c r="D13"/>
  <c r="D10"/>
  <c r="D9"/>
  <c r="D21" i="62" l="1"/>
  <c r="D22" s="1"/>
  <c r="D22" i="82"/>
  <c r="D22" i="83"/>
  <c r="D22" i="84"/>
  <c r="D22" i="85"/>
  <c r="D22" i="71"/>
  <c r="D22" i="72"/>
  <c r="D22" i="73"/>
  <c r="D22" i="74"/>
  <c r="D22" i="75"/>
  <c r="D22" i="59"/>
  <c r="D22" i="60"/>
  <c r="D22" i="63"/>
  <c r="D21" i="64"/>
  <c r="D22" s="1"/>
  <c r="D21" i="51"/>
  <c r="D22" s="1"/>
  <c r="D21" i="52"/>
  <c r="D22" s="1"/>
  <c r="D21" i="53"/>
  <c r="D22" s="1"/>
  <c r="D21" i="55"/>
  <c r="D22" s="1"/>
  <c r="D21" i="56"/>
  <c r="D22" s="1"/>
  <c r="D21" i="57"/>
  <c r="D22" s="1"/>
  <c r="D21" i="36"/>
  <c r="D22" s="1"/>
  <c r="D21" i="37"/>
  <c r="D22" s="1"/>
  <c r="D21" i="38"/>
  <c r="D22" s="1"/>
  <c r="D21" i="16"/>
  <c r="D22" s="1"/>
  <c r="D21" i="27"/>
  <c r="D22" s="1"/>
  <c r="D22" i="28"/>
  <c r="D21" i="29"/>
  <c r="D22" s="1"/>
  <c r="D21" i="30"/>
  <c r="D22" s="1"/>
  <c r="D21" i="31"/>
  <c r="D22" s="1"/>
  <c r="D31" i="14" l="1"/>
  <c r="D32" i="15"/>
  <c r="D31" i="10"/>
  <c r="A31"/>
  <c r="D31" i="5"/>
  <c r="D32" i="6"/>
  <c r="D31" i="7"/>
  <c r="D31" i="8"/>
  <c r="D32" i="9"/>
  <c r="D29" i="1"/>
  <c r="D21" i="32"/>
  <c r="D20" i="35"/>
  <c r="D19"/>
  <c r="D18"/>
  <c r="D17"/>
  <c r="D16"/>
  <c r="D15"/>
  <c r="D14"/>
  <c r="D12"/>
  <c r="D11"/>
  <c r="D8"/>
  <c r="D7"/>
  <c r="D20" i="17"/>
  <c r="D19"/>
  <c r="D18"/>
  <c r="D17"/>
  <c r="D16"/>
  <c r="D15"/>
  <c r="D14"/>
  <c r="D12"/>
  <c r="D11"/>
  <c r="D8"/>
  <c r="D7"/>
  <c r="D20" i="18"/>
  <c r="D19"/>
  <c r="D18"/>
  <c r="D17"/>
  <c r="D16"/>
  <c r="D15"/>
  <c r="D14"/>
  <c r="D12"/>
  <c r="D11"/>
  <c r="D8"/>
  <c r="D7"/>
  <c r="D21" i="22"/>
  <c r="D15" i="23"/>
  <c r="D21" s="1"/>
  <c r="D20"/>
  <c r="D19"/>
  <c r="D18"/>
  <c r="D17"/>
  <c r="D16"/>
  <c r="D14"/>
  <c r="D12"/>
  <c r="D11"/>
  <c r="D8"/>
  <c r="D7"/>
  <c r="D20" i="24"/>
  <c r="D19"/>
  <c r="D18"/>
  <c r="D17"/>
  <c r="D16"/>
  <c r="D15"/>
  <c r="D14"/>
  <c r="D12"/>
  <c r="D11"/>
  <c r="D8"/>
  <c r="D7"/>
  <c r="D7" i="25"/>
  <c r="D8"/>
  <c r="D11"/>
  <c r="D12"/>
  <c r="D21" i="39" l="1"/>
  <c r="D21" i="33"/>
  <c r="D21" i="35"/>
  <c r="D21" i="17"/>
  <c r="D21" i="18"/>
  <c r="D21" i="19"/>
  <c r="D21" i="20"/>
  <c r="D22" s="1"/>
  <c r="D21" i="21"/>
  <c r="D21" i="24"/>
  <c r="D21" i="25" l="1"/>
  <c r="D20"/>
  <c r="D19"/>
  <c r="D18"/>
  <c r="D17"/>
  <c r="D16"/>
  <c r="D15"/>
  <c r="D14"/>
  <c r="D22" i="14"/>
  <c r="D21"/>
  <c r="D20"/>
  <c r="D19"/>
  <c r="D18"/>
  <c r="D17"/>
  <c r="D16"/>
  <c r="D14"/>
  <c r="D13"/>
  <c r="D22" i="15"/>
  <c r="D21"/>
  <c r="D23" s="1"/>
  <c r="D20"/>
  <c r="D19"/>
  <c r="D18"/>
  <c r="D17"/>
  <c r="D16"/>
  <c r="D14"/>
  <c r="D13"/>
  <c r="D22" i="10"/>
  <c r="D21"/>
  <c r="D20"/>
  <c r="D19"/>
  <c r="D18"/>
  <c r="D17"/>
  <c r="D16"/>
  <c r="D14"/>
  <c r="D13"/>
  <c r="D22" i="5"/>
  <c r="D21"/>
  <c r="D20"/>
  <c r="D19"/>
  <c r="D18"/>
  <c r="D17"/>
  <c r="D16"/>
  <c r="D14"/>
  <c r="D13"/>
  <c r="D22" i="6"/>
  <c r="D21"/>
  <c r="D20"/>
  <c r="D19"/>
  <c r="D18"/>
  <c r="D17"/>
  <c r="D16"/>
  <c r="D14"/>
  <c r="D13"/>
  <c r="D22" i="7"/>
  <c r="D21"/>
  <c r="D20"/>
  <c r="D19"/>
  <c r="D18"/>
  <c r="D17"/>
  <c r="D16"/>
  <c r="D14"/>
  <c r="D13"/>
  <c r="D22" i="8"/>
  <c r="D21"/>
  <c r="D20"/>
  <c r="D19"/>
  <c r="D18"/>
  <c r="D17"/>
  <c r="D16"/>
  <c r="D14"/>
  <c r="D13"/>
  <c r="D18" i="1"/>
  <c r="D22" i="9"/>
  <c r="D21"/>
  <c r="D20"/>
  <c r="D19"/>
  <c r="D18"/>
  <c r="D17"/>
  <c r="D16"/>
  <c r="D14"/>
  <c r="D13"/>
  <c r="D16" i="1"/>
  <c r="D15"/>
  <c r="D14"/>
  <c r="D13"/>
  <c r="D12"/>
  <c r="D11"/>
  <c r="D10"/>
  <c r="D9"/>
  <c r="D23" i="10" l="1"/>
  <c r="D23" i="5"/>
  <c r="D23" i="6"/>
  <c r="D23" i="7"/>
  <c r="D23" i="9"/>
  <c r="D19" i="1"/>
  <c r="D23" i="14"/>
  <c r="D10"/>
  <c r="D9"/>
  <c r="D24" s="1"/>
  <c r="D10" i="15"/>
  <c r="D9"/>
  <c r="D10" i="10"/>
  <c r="D9"/>
  <c r="D10" i="5"/>
  <c r="D9"/>
  <c r="D10" i="6"/>
  <c r="D9"/>
  <c r="D10" i="7"/>
  <c r="D9"/>
  <c r="D10" i="8"/>
  <c r="D9"/>
  <c r="D10" i="9"/>
  <c r="D9"/>
  <c r="D6" i="1"/>
  <c r="D5"/>
  <c r="D34" i="64" l="1"/>
  <c r="D35" s="1"/>
  <c r="D6"/>
  <c r="D34" i="51"/>
  <c r="D35" s="1"/>
  <c r="D6"/>
  <c r="D34" i="52"/>
  <c r="D35" s="1"/>
  <c r="D6"/>
  <c r="D34" i="53"/>
  <c r="D35" s="1"/>
  <c r="D6"/>
  <c r="D34" i="55"/>
  <c r="D35" s="1"/>
  <c r="D6"/>
  <c r="D34" i="56"/>
  <c r="D35" s="1"/>
  <c r="D6"/>
  <c r="D34" i="57"/>
  <c r="D35" s="1"/>
  <c r="D6"/>
  <c r="D34" i="36"/>
  <c r="D35" s="1"/>
  <c r="D6"/>
  <c r="D34" i="37"/>
  <c r="D35" s="1"/>
  <c r="D6"/>
  <c r="D34" i="38"/>
  <c r="D35" s="1"/>
  <c r="D6"/>
  <c r="D34" i="39"/>
  <c r="D35" s="1"/>
  <c r="D22"/>
  <c r="D6"/>
  <c r="D33" i="32"/>
  <c r="D34" s="1"/>
  <c r="D34" i="16"/>
  <c r="D35" s="1"/>
  <c r="D32" i="33" l="1"/>
  <c r="D33" s="1"/>
  <c r="D34" i="35"/>
  <c r="D35" s="1"/>
  <c r="D33" i="17"/>
  <c r="D34" s="1"/>
  <c r="D33" i="18"/>
  <c r="D35" i="19"/>
  <c r="D36" s="1"/>
  <c r="D32" i="20"/>
  <c r="D35" i="21"/>
  <c r="D36" s="1"/>
  <c r="D34" i="22"/>
  <c r="D35" s="1"/>
  <c r="D35" i="23"/>
  <c r="D36" s="1"/>
  <c r="D34" i="24"/>
  <c r="D35" s="1"/>
  <c r="D34" i="25"/>
  <c r="D35" s="1"/>
  <c r="D35" i="27"/>
  <c r="D33" i="28"/>
  <c r="D36" i="29"/>
  <c r="D37" s="1"/>
  <c r="D33" i="30"/>
  <c r="D34" s="1"/>
  <c r="D34" i="31"/>
  <c r="D35" s="1"/>
  <c r="D34" i="11"/>
  <c r="D35" s="1"/>
  <c r="D34" i="12"/>
  <c r="D35" s="1"/>
  <c r="D37" i="13"/>
  <c r="D33" i="15"/>
  <c r="D32" i="10"/>
  <c r="D34" i="4"/>
  <c r="D35" s="1"/>
  <c r="D32" i="5"/>
  <c r="D33" i="6"/>
  <c r="D27" i="58" l="1"/>
  <c r="D26"/>
  <c r="D25"/>
  <c r="D24"/>
  <c r="D28" s="1"/>
  <c r="D23"/>
  <c r="D20"/>
  <c r="D18"/>
  <c r="D17"/>
  <c r="D8"/>
  <c r="D7"/>
  <c r="D6" s="1"/>
  <c r="D6" i="16"/>
  <c r="D34" i="18"/>
  <c r="D33" i="20"/>
  <c r="D6"/>
  <c r="D38" i="13"/>
  <c r="D32" i="14"/>
  <c r="D8" i="15"/>
  <c r="D8" i="4"/>
  <c r="D8" i="6"/>
  <c r="D32" i="7"/>
  <c r="D32" i="8"/>
  <c r="D33" i="9"/>
  <c r="G11" i="2"/>
  <c r="G12"/>
  <c r="G9"/>
  <c r="G8"/>
  <c r="G7"/>
  <c r="G6"/>
  <c r="G5"/>
  <c r="G10"/>
  <c r="G13"/>
  <c r="D30" i="1"/>
  <c r="F79" i="3"/>
  <c r="E79"/>
  <c r="D79"/>
  <c r="C79"/>
  <c r="P59"/>
  <c r="O59"/>
  <c r="N59"/>
  <c r="M59"/>
  <c r="L59"/>
  <c r="K59"/>
  <c r="J59"/>
  <c r="I59"/>
  <c r="H59"/>
  <c r="G59"/>
  <c r="F59"/>
  <c r="E59"/>
  <c r="D59"/>
  <c r="C59"/>
  <c r="R45"/>
  <c r="Q45"/>
  <c r="P45"/>
  <c r="O45"/>
  <c r="N45"/>
  <c r="M45"/>
  <c r="L45"/>
  <c r="K45"/>
  <c r="J45"/>
  <c r="I45"/>
  <c r="H45"/>
  <c r="G45"/>
  <c r="F45"/>
  <c r="E45"/>
  <c r="D45"/>
  <c r="C45"/>
  <c r="F116"/>
  <c r="E109"/>
  <c r="D109"/>
  <c r="C109"/>
  <c r="N20"/>
  <c r="M20"/>
  <c r="L20"/>
  <c r="K20"/>
  <c r="J20"/>
  <c r="I20"/>
  <c r="H20"/>
  <c r="G20"/>
  <c r="F20"/>
  <c r="E20"/>
  <c r="D20"/>
  <c r="C20"/>
  <c r="D6" i="32" l="1"/>
  <c r="D22" i="33"/>
  <c r="D6"/>
  <c r="D22" i="35"/>
  <c r="D6"/>
  <c r="D22" i="17"/>
  <c r="D6"/>
  <c r="D6" i="18"/>
  <c r="D6" i="19"/>
  <c r="D22"/>
  <c r="D6" i="21"/>
  <c r="D22"/>
  <c r="D6" i="22"/>
  <c r="D22"/>
  <c r="D6" i="23"/>
  <c r="D22"/>
  <c r="D22" i="24"/>
  <c r="D6"/>
  <c r="D22" i="25"/>
  <c r="D6"/>
  <c r="D6" i="27"/>
  <c r="D6" i="28"/>
  <c r="D6" i="29"/>
  <c r="D6" i="30"/>
  <c r="D6" i="31"/>
  <c r="D8" i="11"/>
  <c r="D6" i="12"/>
  <c r="D21"/>
  <c r="D8" i="13"/>
  <c r="D8" i="14"/>
  <c r="D24" i="15"/>
  <c r="D24" i="10"/>
  <c r="D8"/>
  <c r="D22" i="4"/>
  <c r="D23" s="1"/>
  <c r="D8" i="5"/>
  <c r="D24"/>
  <c r="D24" i="6"/>
  <c r="D8" i="7"/>
  <c r="D24"/>
  <c r="D23" i="8"/>
  <c r="D24" s="1"/>
  <c r="D8"/>
  <c r="D24" i="9"/>
  <c r="D8"/>
  <c r="D20" i="1"/>
  <c r="D4"/>
  <c r="D22" i="32"/>
  <c r="D22" i="18"/>
  <c r="D108" i="3"/>
  <c r="D113" s="1"/>
  <c r="C108"/>
  <c r="F108"/>
  <c r="E108"/>
  <c r="H13" i="2"/>
  <c r="C106" i="3"/>
  <c r="D122"/>
  <c r="F106"/>
  <c r="F109"/>
  <c r="F113" s="1"/>
  <c r="E106"/>
  <c r="D106"/>
  <c r="E116" l="1"/>
</calcChain>
</file>

<file path=xl/sharedStrings.xml><?xml version="1.0" encoding="utf-8"?>
<sst xmlns="http://schemas.openxmlformats.org/spreadsheetml/2006/main" count="3596" uniqueCount="243">
  <si>
    <t>№</t>
  </si>
  <si>
    <t>Статья</t>
  </si>
  <si>
    <t>ед.изм.</t>
  </si>
  <si>
    <t>Стоимость</t>
  </si>
  <si>
    <t>Тыс. руб.</t>
  </si>
  <si>
    <t>содержание жилья</t>
  </si>
  <si>
    <t>ремонт жилья</t>
  </si>
  <si>
    <t>Отклонение за предыдущий год</t>
  </si>
  <si>
    <t>Плановый доход на 2012 год с учетом отклонения</t>
  </si>
  <si>
    <t>Запланировано по статье "содержание жилья" общего имущества МКД</t>
  </si>
  <si>
    <t>Управление многоквартирным домом</t>
  </si>
  <si>
    <t>Аварийно-диспетчерское сопровожд.</t>
  </si>
  <si>
    <t>Содержание паспортной службы</t>
  </si>
  <si>
    <t>Вывоз ТБО</t>
  </si>
  <si>
    <t>Обсл. приборов учета</t>
  </si>
  <si>
    <t>Истребование задолженности</t>
  </si>
  <si>
    <t>Электрика</t>
  </si>
  <si>
    <t>Содержание придомовой территории</t>
  </si>
  <si>
    <t>Уборка лестничных клеток</t>
  </si>
  <si>
    <t>Эксплуатация здания и оборудования</t>
  </si>
  <si>
    <t>Всего затрат</t>
  </si>
  <si>
    <t>Планируемый остаток на конец года</t>
  </si>
  <si>
    <t>Запланировано по статье "ремонт жилья" общего имущества МКД</t>
  </si>
  <si>
    <t>Ремонт жилья:</t>
  </si>
  <si>
    <t>Автоматика</t>
  </si>
  <si>
    <t>Вентиляционная шахта (канал)</t>
  </si>
  <si>
    <t>Водомерный узел</t>
  </si>
  <si>
    <t>Водоотводы</t>
  </si>
  <si>
    <t>Водосточные трубы</t>
  </si>
  <si>
    <t>Входные двери</t>
  </si>
  <si>
    <t>Гидроизоляция</t>
  </si>
  <si>
    <t>Дифлектор, колпак</t>
  </si>
  <si>
    <t>Дросельные устройства</t>
  </si>
  <si>
    <t>Запорная арматура (квратиры)</t>
  </si>
  <si>
    <t>Запорная арматура (стояки, подвал)</t>
  </si>
  <si>
    <t>Запорно-регулирующая арматура</t>
  </si>
  <si>
    <t>Запорно-регулирующая арматура (стояки)</t>
  </si>
  <si>
    <t>Канал мусопровода</t>
  </si>
  <si>
    <t>КИП</t>
  </si>
  <si>
    <t>Клумбы</t>
  </si>
  <si>
    <t>Козырьки</t>
  </si>
  <si>
    <t>КРТ-5</t>
  </si>
  <si>
    <t>крыльцо</t>
  </si>
  <si>
    <t>КТС-Б</t>
  </si>
  <si>
    <t>Лавочки</t>
  </si>
  <si>
    <t>Лестничная площадка</t>
  </si>
  <si>
    <t>Лестничные ограждения</t>
  </si>
  <si>
    <t>межпанельные швы</t>
  </si>
  <si>
    <t>Межэтажная лестничная площадка</t>
  </si>
  <si>
    <t>Обслуживание конструктивных элементов</t>
  </si>
  <si>
    <t>Обслуживание кровли</t>
  </si>
  <si>
    <t>Обслуживание мусорорпроводов</t>
  </si>
  <si>
    <t>Обслуживание систем вентиляции</t>
  </si>
  <si>
    <t>Обслуживание систем водоотведения</t>
  </si>
  <si>
    <t>Обслуживание систем отопления</t>
  </si>
  <si>
    <t>Общестроительные работы</t>
  </si>
  <si>
    <t>Ограждение металлическое</t>
  </si>
  <si>
    <t>остекление</t>
  </si>
  <si>
    <t>Отмостка</t>
  </si>
  <si>
    <t>Отопительные приборы (пробки радиаторные, комплектующие)</t>
  </si>
  <si>
    <t>Парапет</t>
  </si>
  <si>
    <t>Плотнитские работы</t>
  </si>
  <si>
    <t>Подвальные двери</t>
  </si>
  <si>
    <t>Подъездное электроснабжение</t>
  </si>
  <si>
    <t>почтовые ящики</t>
  </si>
  <si>
    <t>Поэтажные щитки (ГРЩ)</t>
  </si>
  <si>
    <t>Примыкания к вентиляции</t>
  </si>
  <si>
    <t>Примыкания к вытяжным трубам</t>
  </si>
  <si>
    <t>Прымыкания к желобам</t>
  </si>
  <si>
    <t>Регулирующие устройства</t>
  </si>
  <si>
    <t>Ремоннт ВРУ</t>
  </si>
  <si>
    <t>ремонт дверей</t>
  </si>
  <si>
    <t>ремонт подъезда</t>
  </si>
  <si>
    <t>Теплоизоляция</t>
  </si>
  <si>
    <t>теплосчётчик КМ-5-4</t>
  </si>
  <si>
    <t>Термошвы</t>
  </si>
  <si>
    <t>Тротуар</t>
  </si>
  <si>
    <t>Трубопровод</t>
  </si>
  <si>
    <t>Трубопровод (квартирный)</t>
  </si>
  <si>
    <t>Трубопровод (подвал)</t>
  </si>
  <si>
    <t>Трубопровод (розлив)</t>
  </si>
  <si>
    <t>Трубопровод (стоячный)</t>
  </si>
  <si>
    <t>Трубопровод (чердак, кровля)</t>
  </si>
  <si>
    <t>Установка домофонов</t>
  </si>
  <si>
    <t>установка металлической двери</t>
  </si>
  <si>
    <t>установка окон ПВХ</t>
  </si>
  <si>
    <t>Фильтры</t>
  </si>
  <si>
    <t>Циркулярная линия</t>
  </si>
  <si>
    <t>Цоколь</t>
  </si>
  <si>
    <t>Чердачные люки</t>
  </si>
  <si>
    <t>Швы</t>
  </si>
  <si>
    <t>Шифер</t>
  </si>
  <si>
    <t>Щитовая (ВРУ)</t>
  </si>
  <si>
    <t>Элеваторный узел</t>
  </si>
  <si>
    <t>Электросети подвального помещения</t>
  </si>
  <si>
    <t>Электросети подъездного освещения</t>
  </si>
  <si>
    <t>Расшифровка  тарифа по  содержанию и ремонту многоквартирного дома</t>
  </si>
  <si>
    <t>Капитальные жилые дома блочного типа, имеющие все виды благоустройства, без лифта и мусоропровода</t>
  </si>
  <si>
    <t>№ п/п</t>
  </si>
  <si>
    <t>Наименование  работ (услуг) по  содержанию</t>
  </si>
  <si>
    <t>Периодичность</t>
  </si>
  <si>
    <t>Тариф, руб./м.кв</t>
  </si>
  <si>
    <t>Вывоз твердо-бытовых отходов</t>
  </si>
  <si>
    <t>ежедневно</t>
  </si>
  <si>
    <t>Аварийная служба</t>
  </si>
  <si>
    <t>круглосуточно</t>
  </si>
  <si>
    <t xml:space="preserve">Уборка лестничных клеток </t>
  </si>
  <si>
    <t>1 дн/нед.</t>
  </si>
  <si>
    <t xml:space="preserve">Уборка придомовой территории </t>
  </si>
  <si>
    <t>6 дн/нед.</t>
  </si>
  <si>
    <t>Обслуживание электросетей</t>
  </si>
  <si>
    <t>5 дн/нед.</t>
  </si>
  <si>
    <t>Дезинсексия и дератизация</t>
  </si>
  <si>
    <t>1 раз в год</t>
  </si>
  <si>
    <t>Расходы по управлению МКД</t>
  </si>
  <si>
    <t>Содержание инженерного оборудования и конструктивных элементов дома.</t>
  </si>
  <si>
    <t>Итого</t>
  </si>
  <si>
    <t>Реестр домов находящихся в управлении у УК "ПЕРСПЕКТИВА"</t>
  </si>
  <si>
    <t>адрес</t>
  </si>
  <si>
    <t>площадь</t>
  </si>
  <si>
    <t>квртиры</t>
  </si>
  <si>
    <t>площадь подъезда</t>
  </si>
  <si>
    <t>Год постройки</t>
  </si>
  <si>
    <t>общая</t>
  </si>
  <si>
    <t>Жилая (п)</t>
  </si>
  <si>
    <t>жилая</t>
  </si>
  <si>
    <t>гаражи</t>
  </si>
  <si>
    <t>1 ком.</t>
  </si>
  <si>
    <t>2 комн.</t>
  </si>
  <si>
    <t>3 комн</t>
  </si>
  <si>
    <t>4 комн</t>
  </si>
  <si>
    <t>6 комн</t>
  </si>
  <si>
    <t>к-во</t>
  </si>
  <si>
    <t>S</t>
  </si>
  <si>
    <t>ИТОГО</t>
  </si>
  <si>
    <t>Пик любви</t>
  </si>
  <si>
    <t>28\1</t>
  </si>
  <si>
    <t>28\2</t>
  </si>
  <si>
    <t>28\3</t>
  </si>
  <si>
    <t>28\4</t>
  </si>
  <si>
    <t>28\5</t>
  </si>
  <si>
    <t>28\6</t>
  </si>
  <si>
    <t>28\7</t>
  </si>
  <si>
    <t>28\8</t>
  </si>
  <si>
    <t>28\9</t>
  </si>
  <si>
    <t>28\10</t>
  </si>
  <si>
    <t>28\11</t>
  </si>
  <si>
    <t>28\12</t>
  </si>
  <si>
    <t>28/13</t>
  </si>
  <si>
    <t>Ершовский</t>
  </si>
  <si>
    <t>65 а</t>
  </si>
  <si>
    <t>89/1</t>
  </si>
  <si>
    <t>89/2</t>
  </si>
  <si>
    <t>89/3</t>
  </si>
  <si>
    <t>91 а</t>
  </si>
  <si>
    <t>128 а</t>
  </si>
  <si>
    <t>130 а</t>
  </si>
  <si>
    <t>130 б</t>
  </si>
  <si>
    <t>ПТУ</t>
  </si>
  <si>
    <t>6/428,1</t>
  </si>
  <si>
    <t>12/850,3</t>
  </si>
  <si>
    <t>12/860,6</t>
  </si>
  <si>
    <t>4/329,2</t>
  </si>
  <si>
    <t>12/864,9</t>
  </si>
  <si>
    <t>136 а</t>
  </si>
  <si>
    <t>5/247,3</t>
  </si>
  <si>
    <t>132 в-15</t>
  </si>
  <si>
    <t>6/290,9</t>
  </si>
  <si>
    <t>132 г-15а</t>
  </si>
  <si>
    <t>6/268,1</t>
  </si>
  <si>
    <t>132 б-16</t>
  </si>
  <si>
    <t>10/494,6</t>
  </si>
  <si>
    <t>Бородина</t>
  </si>
  <si>
    <t>142 а-2в</t>
  </si>
  <si>
    <t>18/752</t>
  </si>
  <si>
    <t>14/1150,3</t>
  </si>
  <si>
    <t>142 б-4</t>
  </si>
  <si>
    <t>6/230,3</t>
  </si>
  <si>
    <t>12/583,7</t>
  </si>
  <si>
    <t>4/352,5</t>
  </si>
  <si>
    <t>2/203,3</t>
  </si>
  <si>
    <t>158 б</t>
  </si>
  <si>
    <t>9/455,7</t>
  </si>
  <si>
    <t>10/756</t>
  </si>
  <si>
    <t>1/169</t>
  </si>
  <si>
    <t>158 а</t>
  </si>
  <si>
    <t>12/599,3</t>
  </si>
  <si>
    <t>8/614,7</t>
  </si>
  <si>
    <t>158 итого</t>
  </si>
  <si>
    <t>21/1055</t>
  </si>
  <si>
    <t>18/1370,7</t>
  </si>
  <si>
    <t>2/338</t>
  </si>
  <si>
    <t>6/230,6</t>
  </si>
  <si>
    <t>12/584,1</t>
  </si>
  <si>
    <t>2/76,2</t>
  </si>
  <si>
    <t>3/244,5</t>
  </si>
  <si>
    <t>1/102,1</t>
  </si>
  <si>
    <t>16/586,7</t>
  </si>
  <si>
    <t>2/123,4</t>
  </si>
  <si>
    <t>24/768,7</t>
  </si>
  <si>
    <t>14/512,5</t>
  </si>
  <si>
    <t>1/74,1</t>
  </si>
  <si>
    <t>22/684,5</t>
  </si>
  <si>
    <t>18/650</t>
  </si>
  <si>
    <t>22/687,2</t>
  </si>
  <si>
    <t>18/698,2</t>
  </si>
  <si>
    <t>18/350,2</t>
  </si>
  <si>
    <t>14/477</t>
  </si>
  <si>
    <t>2/104,8</t>
  </si>
  <si>
    <t>18/563,9</t>
  </si>
  <si>
    <t>14/680,2</t>
  </si>
  <si>
    <t>2/136,6</t>
  </si>
  <si>
    <t>36/1242,6</t>
  </si>
  <si>
    <t>2/127,4</t>
  </si>
  <si>
    <t>40/1407</t>
  </si>
  <si>
    <t>40/137</t>
  </si>
  <si>
    <t>18/565</t>
  </si>
  <si>
    <t>20/758,8</t>
  </si>
  <si>
    <t>1/67,1</t>
  </si>
  <si>
    <t>Березовый</t>
  </si>
  <si>
    <t>ВСЕГО</t>
  </si>
  <si>
    <t>в том числе</t>
  </si>
  <si>
    <t>Ерши</t>
  </si>
  <si>
    <t>Зеленый берег</t>
  </si>
  <si>
    <t>Плановая сумма доходов на 2013 год</t>
  </si>
  <si>
    <t>Дезинсекция и дератизация</t>
  </si>
  <si>
    <t>Аварийно-диспетчерская служба</t>
  </si>
  <si>
    <t>Годовой план работ по содержанию и текущему ремонту общего имущества в МКД на 2013 год</t>
  </si>
  <si>
    <t>руб.</t>
  </si>
  <si>
    <t>составление энергопаспорта</t>
  </si>
  <si>
    <t>Подъездное освещение</t>
  </si>
  <si>
    <t>ямочный ремонт придомовой территории</t>
  </si>
  <si>
    <t>составлеение энергопаспорта</t>
  </si>
  <si>
    <t>ремонт дорог</t>
  </si>
  <si>
    <t>ремонт подъездов</t>
  </si>
  <si>
    <t>ремонт фасада</t>
  </si>
  <si>
    <t>Входные двери (ремонт)</t>
  </si>
  <si>
    <t>утепление розлива</t>
  </si>
  <si>
    <t>водостоки</t>
  </si>
  <si>
    <t>охрана тепловых узлов</t>
  </si>
  <si>
    <t>Охрана тепловых узлов</t>
  </si>
  <si>
    <t>Годовой план работ по содержанию и текущему ремонту общего имущества в МКД на 2012 год</t>
  </si>
  <si>
    <t>Плановая сумма доходов на 2012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</si>
</sst>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2">
    <font>
      <sz val="11"/>
      <color theme="1"/>
      <name val="Calibri"/>
      <family val="2"/>
      <charset val="204"/>
      <scheme val="minor"/>
    </font>
    <font>
      <u/>
      <sz val="8"/>
      <color theme="10"/>
      <name val="Arial"/>
      <family val="2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99284C"/>
      <name val="Times New Roman"/>
      <family val="1"/>
      <charset val="204"/>
    </font>
    <font>
      <i/>
      <u/>
      <sz val="10"/>
      <color rgb="FF99284C"/>
      <name val="Times New Roman"/>
      <family val="1"/>
      <charset val="204"/>
    </font>
    <font>
      <sz val="10"/>
      <color rgb="FF99284C"/>
      <name val="Times New Roman"/>
      <family val="1"/>
      <charset val="204"/>
    </font>
    <font>
      <i/>
      <sz val="10"/>
      <color rgb="FF99284C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i/>
      <u/>
      <sz val="10"/>
      <color rgb="FF00B050"/>
      <name val="Times New Roman"/>
      <family val="1"/>
      <charset val="204"/>
    </font>
    <font>
      <i/>
      <u/>
      <sz val="10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u/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9">
    <xf numFmtId="0" fontId="0" fillId="0" borderId="0" xfId="0"/>
    <xf numFmtId="0" fontId="3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2" borderId="0" xfId="1" applyFont="1" applyFill="1" applyAlignment="1" applyProtection="1">
      <alignment horizontal="center"/>
      <protection hidden="1"/>
    </xf>
    <xf numFmtId="0" fontId="5" fillId="0" borderId="0" xfId="0" applyFont="1"/>
    <xf numFmtId="0" fontId="3" fillId="0" borderId="0" xfId="0" applyFont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left"/>
      <protection hidden="1"/>
    </xf>
    <xf numFmtId="0" fontId="5" fillId="0" borderId="1" xfId="0" applyFont="1" applyBorder="1" applyAlignment="1" applyProtection="1">
      <alignment horizontal="left" indent="2"/>
      <protection hidden="1"/>
    </xf>
    <xf numFmtId="4" fontId="5" fillId="2" borderId="1" xfId="0" applyNumberFormat="1" applyFont="1" applyFill="1" applyBorder="1" applyAlignment="1" applyProtection="1">
      <alignment vertical="center"/>
      <protection hidden="1"/>
    </xf>
    <xf numFmtId="4" fontId="3" fillId="2" borderId="1" xfId="0" applyNumberFormat="1" applyFont="1" applyFill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left" wrapText="1" indent="2"/>
      <protection hidden="1"/>
    </xf>
    <xf numFmtId="0" fontId="5" fillId="0" borderId="0" xfId="0" applyFont="1" applyAlignment="1" applyProtection="1">
      <alignment horizontal="center"/>
      <protection hidden="1"/>
    </xf>
    <xf numFmtId="4" fontId="3" fillId="0" borderId="1" xfId="0" applyNumberFormat="1" applyFont="1" applyBorder="1" applyAlignment="1" applyProtection="1">
      <alignment horizontal="center"/>
      <protection hidden="1"/>
    </xf>
    <xf numFmtId="4" fontId="5" fillId="0" borderId="1" xfId="0" applyNumberFormat="1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2" fontId="1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19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2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18" fillId="3" borderId="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2" fontId="18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0" xfId="0" applyFont="1" applyAlignment="1" applyProtection="1">
      <alignment horizontal="left"/>
      <protection hidden="1"/>
    </xf>
    <xf numFmtId="0" fontId="29" fillId="2" borderId="0" xfId="1" applyFont="1" applyFill="1" applyAlignment="1" applyProtection="1">
      <alignment horizontal="center"/>
      <protection hidden="1"/>
    </xf>
    <xf numFmtId="0" fontId="28" fillId="0" borderId="0" xfId="0" applyFont="1"/>
    <xf numFmtId="0" fontId="30" fillId="0" borderId="0" xfId="0" applyFont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30" fillId="0" borderId="1" xfId="0" applyFont="1" applyBorder="1" applyAlignment="1" applyProtection="1">
      <alignment horizontal="center"/>
      <protection hidden="1"/>
    </xf>
    <xf numFmtId="0" fontId="28" fillId="0" borderId="1" xfId="0" applyFont="1" applyBorder="1" applyAlignment="1" applyProtection="1">
      <alignment horizontal="left"/>
      <protection hidden="1"/>
    </xf>
    <xf numFmtId="0" fontId="30" fillId="0" borderId="1" xfId="0" applyFont="1" applyBorder="1" applyAlignment="1" applyProtection="1">
      <alignment horizontal="left"/>
      <protection hidden="1"/>
    </xf>
    <xf numFmtId="4" fontId="30" fillId="0" borderId="1" xfId="0" applyNumberFormat="1" applyFont="1" applyBorder="1" applyAlignment="1" applyProtection="1">
      <alignment horizontal="center"/>
      <protection hidden="1"/>
    </xf>
    <xf numFmtId="0" fontId="28" fillId="0" borderId="1" xfId="0" applyFont="1" applyBorder="1" applyAlignment="1" applyProtection="1">
      <alignment horizontal="left" indent="2"/>
      <protection hidden="1"/>
    </xf>
    <xf numFmtId="4" fontId="28" fillId="0" borderId="1" xfId="0" applyNumberFormat="1" applyFont="1" applyBorder="1" applyAlignment="1" applyProtection="1">
      <alignment horizontal="center"/>
      <protection hidden="1"/>
    </xf>
    <xf numFmtId="0" fontId="28" fillId="0" borderId="1" xfId="0" applyFont="1" applyBorder="1" applyAlignment="1" applyProtection="1">
      <alignment horizontal="center"/>
      <protection hidden="1"/>
    </xf>
    <xf numFmtId="4" fontId="28" fillId="2" borderId="1" xfId="0" applyNumberFormat="1" applyFont="1" applyFill="1" applyBorder="1" applyAlignment="1" applyProtection="1">
      <alignment vertical="center"/>
      <protection hidden="1"/>
    </xf>
    <xf numFmtId="4" fontId="30" fillId="2" borderId="1" xfId="0" applyNumberFormat="1" applyFont="1" applyFill="1" applyBorder="1" applyAlignment="1" applyProtection="1">
      <alignment vertical="center"/>
      <protection hidden="1"/>
    </xf>
    <xf numFmtId="0" fontId="28" fillId="0" borderId="1" xfId="0" applyFont="1" applyBorder="1" applyAlignment="1" applyProtection="1">
      <alignment horizontal="left" wrapText="1" indent="2"/>
      <protection hidden="1"/>
    </xf>
    <xf numFmtId="0" fontId="28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4" fontId="5" fillId="0" borderId="1" xfId="0" applyNumberFormat="1" applyFont="1" applyBorder="1" applyAlignment="1" applyProtection="1">
      <alignment horizontal="left"/>
      <protection hidden="1"/>
    </xf>
    <xf numFmtId="4" fontId="31" fillId="0" borderId="1" xfId="0" applyNumberFormat="1" applyFont="1" applyBorder="1" applyAlignment="1" applyProtection="1">
      <alignment horizontal="center"/>
      <protection hidden="1"/>
    </xf>
    <xf numFmtId="4" fontId="3" fillId="0" borderId="4" xfId="0" applyNumberFormat="1" applyFont="1" applyBorder="1" applyAlignment="1" applyProtection="1">
      <alignment horizontal="center"/>
      <protection hidden="1"/>
    </xf>
    <xf numFmtId="4" fontId="19" fillId="0" borderId="1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center" wrapText="1"/>
      <protection hidden="1"/>
    </xf>
    <xf numFmtId="0" fontId="30" fillId="0" borderId="0" xfId="0" applyFont="1" applyAlignment="1" applyProtection="1">
      <alignment horizontal="center"/>
      <protection hidden="1"/>
    </xf>
    <xf numFmtId="0" fontId="28" fillId="0" borderId="2" xfId="0" applyFont="1" applyBorder="1" applyAlignment="1" applyProtection="1">
      <alignment horizontal="center"/>
      <protection hidden="1"/>
    </xf>
    <xf numFmtId="0" fontId="28" fillId="0" borderId="3" xfId="0" applyFont="1" applyBorder="1" applyAlignment="1" applyProtection="1">
      <alignment horizontal="center"/>
      <protection hidden="1"/>
    </xf>
    <xf numFmtId="0" fontId="28" fillId="0" borderId="4" xfId="0" applyFont="1" applyBorder="1" applyAlignment="1" applyProtection="1">
      <alignment horizontal="center"/>
      <protection hidden="1"/>
    </xf>
    <xf numFmtId="0" fontId="10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2" borderId="0" xfId="0" applyFon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30"/>
  <sheetViews>
    <sheetView workbookViewId="0">
      <selection activeCell="D23" sqref="D23:D28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 ht="30" customHeight="1">
      <c r="A1" s="96" t="s">
        <v>227</v>
      </c>
      <c r="B1" s="96"/>
      <c r="C1" s="96"/>
      <c r="D1" s="96"/>
    </row>
    <row r="2" spans="1:4">
      <c r="A2" s="2"/>
      <c r="B2" s="2"/>
      <c r="C2" s="2"/>
      <c r="D2" s="13"/>
    </row>
    <row r="3" spans="1:4">
      <c r="A3" s="6" t="s">
        <v>0</v>
      </c>
      <c r="B3" s="6" t="s">
        <v>1</v>
      </c>
      <c r="C3" s="6" t="s">
        <v>2</v>
      </c>
      <c r="D3" s="6" t="s">
        <v>3</v>
      </c>
    </row>
    <row r="4" spans="1:4">
      <c r="A4" s="7"/>
      <c r="B4" s="8" t="s">
        <v>224</v>
      </c>
      <c r="C4" s="16" t="s">
        <v>228</v>
      </c>
      <c r="D4" s="14">
        <f>D5+D6</f>
        <v>186486.31200000001</v>
      </c>
    </row>
    <row r="5" spans="1:4">
      <c r="A5" s="7"/>
      <c r="B5" s="9" t="s">
        <v>5</v>
      </c>
      <c r="C5" s="16" t="s">
        <v>228</v>
      </c>
      <c r="D5" s="15">
        <f>14.66*830.6*12</f>
        <v>146119.152</v>
      </c>
    </row>
    <row r="6" spans="1:4">
      <c r="A6" s="7"/>
      <c r="B6" s="9" t="s">
        <v>6</v>
      </c>
      <c r="C6" s="16" t="s">
        <v>228</v>
      </c>
      <c r="D6" s="15">
        <f>4.05*830.6*12</f>
        <v>40367.159999999996</v>
      </c>
    </row>
    <row r="7" spans="1:4">
      <c r="A7" s="7"/>
      <c r="B7" s="7"/>
      <c r="C7" s="7"/>
      <c r="D7" s="16"/>
    </row>
    <row r="8" spans="1:4">
      <c r="A8" s="7"/>
      <c r="B8" s="97" t="s">
        <v>9</v>
      </c>
      <c r="C8" s="98"/>
      <c r="D8" s="99"/>
    </row>
    <row r="9" spans="1:4">
      <c r="A9" s="7"/>
      <c r="B9" s="10" t="s">
        <v>10</v>
      </c>
      <c r="C9" s="16" t="s">
        <v>228</v>
      </c>
      <c r="D9" s="15">
        <f>2.29*830.6*12</f>
        <v>22824.887999999999</v>
      </c>
    </row>
    <row r="10" spans="1:4">
      <c r="A10" s="7"/>
      <c r="B10" s="10" t="s">
        <v>11</v>
      </c>
      <c r="C10" s="16" t="s">
        <v>228</v>
      </c>
      <c r="D10" s="15">
        <f>1.85*830.6*12</f>
        <v>18439.32</v>
      </c>
    </row>
    <row r="11" spans="1:4">
      <c r="A11" s="7"/>
      <c r="B11" s="10" t="s">
        <v>13</v>
      </c>
      <c r="C11" s="16" t="s">
        <v>228</v>
      </c>
      <c r="D11" s="15">
        <f>2.28*830.6*12</f>
        <v>22725.215999999997</v>
      </c>
    </row>
    <row r="12" spans="1:4">
      <c r="A12" s="7"/>
      <c r="B12" s="10" t="s">
        <v>16</v>
      </c>
      <c r="C12" s="16" t="s">
        <v>228</v>
      </c>
      <c r="D12" s="15">
        <f>1.68*830.6*12</f>
        <v>16744.896000000001</v>
      </c>
    </row>
    <row r="13" spans="1:4">
      <c r="A13" s="7"/>
      <c r="B13" s="10" t="s">
        <v>17</v>
      </c>
      <c r="C13" s="16" t="s">
        <v>228</v>
      </c>
      <c r="D13" s="15">
        <f>2.28*830.6*12</f>
        <v>22725.215999999997</v>
      </c>
    </row>
    <row r="14" spans="1:4">
      <c r="A14" s="7"/>
      <c r="B14" s="10" t="s">
        <v>18</v>
      </c>
      <c r="C14" s="16" t="s">
        <v>228</v>
      </c>
      <c r="D14" s="15">
        <f>12*830.6*1.19</f>
        <v>11860.968000000001</v>
      </c>
    </row>
    <row r="15" spans="1:4">
      <c r="A15" s="7"/>
      <c r="B15" s="10" t="s">
        <v>19</v>
      </c>
      <c r="C15" s="16" t="s">
        <v>228</v>
      </c>
      <c r="D15" s="15">
        <f>830.6*12*2.66</f>
        <v>26512.752000000004</v>
      </c>
    </row>
    <row r="16" spans="1:4">
      <c r="A16" s="7"/>
      <c r="B16" s="10" t="s">
        <v>225</v>
      </c>
      <c r="C16" s="16" t="s">
        <v>228</v>
      </c>
      <c r="D16" s="15">
        <f>830.6*12*0.06</f>
        <v>598.03200000000004</v>
      </c>
    </row>
    <row r="17" spans="1:4">
      <c r="A17" s="7"/>
      <c r="B17" s="10" t="s">
        <v>229</v>
      </c>
      <c r="C17" s="16" t="s">
        <v>228</v>
      </c>
      <c r="D17" s="15">
        <v>25000</v>
      </c>
    </row>
    <row r="18" spans="1:4">
      <c r="A18" s="7"/>
      <c r="B18" s="10" t="s">
        <v>240</v>
      </c>
      <c r="C18" s="16" t="s">
        <v>228</v>
      </c>
      <c r="D18" s="15">
        <f>12*830.6*0.37</f>
        <v>3687.864</v>
      </c>
    </row>
    <row r="19" spans="1:4">
      <c r="A19" s="7"/>
      <c r="B19" s="11" t="s">
        <v>20</v>
      </c>
      <c r="C19" s="16" t="s">
        <v>228</v>
      </c>
      <c r="D19" s="14">
        <f>D17+D16+D15+D14+D13+D12+D11+D10+D9+D18</f>
        <v>171119.152</v>
      </c>
    </row>
    <row r="20" spans="1:4">
      <c r="A20" s="7"/>
      <c r="B20" s="8" t="s">
        <v>21</v>
      </c>
      <c r="C20" s="16" t="s">
        <v>228</v>
      </c>
      <c r="D20" s="14">
        <f>D5-D19</f>
        <v>-25000</v>
      </c>
    </row>
    <row r="21" spans="1:4">
      <c r="A21" s="7"/>
      <c r="B21" s="97" t="s">
        <v>22</v>
      </c>
      <c r="C21" s="98"/>
      <c r="D21" s="99"/>
    </row>
    <row r="22" spans="1:4">
      <c r="A22" s="7"/>
      <c r="B22" s="8" t="s">
        <v>23</v>
      </c>
      <c r="C22" s="16"/>
      <c r="D22" s="14"/>
    </row>
    <row r="23" spans="1:4">
      <c r="A23" s="7"/>
      <c r="B23" s="9" t="s">
        <v>24</v>
      </c>
      <c r="C23" s="16" t="s">
        <v>228</v>
      </c>
      <c r="D23" s="93"/>
    </row>
    <row r="24" spans="1:4">
      <c r="A24" s="7"/>
      <c r="B24" s="9" t="s">
        <v>26</v>
      </c>
      <c r="C24" s="16" t="s">
        <v>228</v>
      </c>
      <c r="D24" s="93"/>
    </row>
    <row r="25" spans="1:4">
      <c r="A25" s="7"/>
      <c r="B25" s="9" t="s">
        <v>28</v>
      </c>
      <c r="C25" s="16" t="s">
        <v>228</v>
      </c>
      <c r="D25" s="93"/>
    </row>
    <row r="26" spans="1:4">
      <c r="A26" s="7"/>
      <c r="B26" s="9" t="s">
        <v>34</v>
      </c>
      <c r="C26" s="16" t="s">
        <v>228</v>
      </c>
      <c r="D26" s="93"/>
    </row>
    <row r="27" spans="1:4">
      <c r="A27" s="7"/>
      <c r="B27" s="9" t="s">
        <v>80</v>
      </c>
      <c r="C27" s="16" t="s">
        <v>228</v>
      </c>
      <c r="D27" s="93"/>
    </row>
    <row r="28" spans="1:4">
      <c r="A28" s="7"/>
      <c r="B28" s="9" t="s">
        <v>92</v>
      </c>
      <c r="C28" s="16" t="s">
        <v>228</v>
      </c>
      <c r="D28" s="93"/>
    </row>
    <row r="29" spans="1:4">
      <c r="A29" s="7"/>
      <c r="B29" s="11" t="s">
        <v>20</v>
      </c>
      <c r="C29" s="16" t="s">
        <v>228</v>
      </c>
      <c r="D29" s="14">
        <f>D28+D27+D26+D25+D24+D23</f>
        <v>0</v>
      </c>
    </row>
    <row r="30" spans="1:4">
      <c r="A30" s="7"/>
      <c r="B30" s="8" t="s">
        <v>21</v>
      </c>
      <c r="C30" s="16" t="s">
        <v>228</v>
      </c>
      <c r="D30" s="14">
        <f>D6-D29</f>
        <v>40367.159999999996</v>
      </c>
    </row>
  </sheetData>
  <mergeCells count="3">
    <mergeCell ref="A1:D1"/>
    <mergeCell ref="B8:D8"/>
    <mergeCell ref="B21:D21"/>
  </mergeCells>
  <pageMargins left="0.7" right="0.7" top="0.35" bottom="0.43" header="0.3" footer="0.3"/>
  <pageSetup paperSize="9" orientation="portrait" verticalDpi="0" r:id="rId1"/>
  <ignoredErrors>
    <ignoredError sqref="D1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D32"/>
  <sheetViews>
    <sheetView workbookViewId="0">
      <selection activeCell="B8" sqref="B8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1"/>
      <c r="B3" s="100"/>
      <c r="C3" s="100"/>
      <c r="D3" s="100"/>
    </row>
    <row r="4" spans="1:4">
      <c r="A4" s="1"/>
      <c r="B4" s="1"/>
      <c r="C4" s="1"/>
      <c r="D4" s="1"/>
    </row>
    <row r="5" spans="1:4">
      <c r="A5" s="5"/>
      <c r="B5" s="101"/>
      <c r="C5" s="101"/>
      <c r="D5" s="101"/>
    </row>
    <row r="6" spans="1:4">
      <c r="A6" s="2"/>
      <c r="B6" s="2"/>
      <c r="C6" s="2"/>
      <c r="D6" s="13"/>
    </row>
    <row r="7" spans="1:4">
      <c r="A7" s="6" t="s">
        <v>0</v>
      </c>
      <c r="B7" s="6" t="s">
        <v>1</v>
      </c>
      <c r="C7" s="6" t="s">
        <v>2</v>
      </c>
      <c r="D7" s="6" t="s">
        <v>3</v>
      </c>
    </row>
    <row r="8" spans="1:4">
      <c r="A8" s="7">
        <v>1</v>
      </c>
      <c r="B8" s="8" t="s">
        <v>242</v>
      </c>
      <c r="C8" s="16" t="s">
        <v>228</v>
      </c>
      <c r="D8" s="14">
        <f>D9+D10</f>
        <v>175623.552</v>
      </c>
    </row>
    <row r="9" spans="1:4">
      <c r="A9" s="7">
        <v>2</v>
      </c>
      <c r="B9" s="9" t="s">
        <v>5</v>
      </c>
      <c r="C9" s="16" t="s">
        <v>228</v>
      </c>
      <c r="D9" s="15">
        <f>14.66*781.8*12</f>
        <v>137534.25599999999</v>
      </c>
    </row>
    <row r="10" spans="1:4">
      <c r="A10" s="7">
        <v>3</v>
      </c>
      <c r="B10" s="9" t="s">
        <v>6</v>
      </c>
      <c r="C10" s="16" t="s">
        <v>228</v>
      </c>
      <c r="D10" s="15">
        <f>4.06*781.8*12</f>
        <v>38089.295999999995</v>
      </c>
    </row>
    <row r="11" spans="1:4">
      <c r="A11" s="7">
        <v>10</v>
      </c>
      <c r="B11" s="7"/>
      <c r="C11" s="7"/>
      <c r="D11" s="16"/>
    </row>
    <row r="12" spans="1:4">
      <c r="A12" s="7">
        <v>11</v>
      </c>
      <c r="B12" s="97" t="s">
        <v>9</v>
      </c>
      <c r="C12" s="98"/>
      <c r="D12" s="99"/>
    </row>
    <row r="13" spans="1:4">
      <c r="A13" s="7">
        <v>12</v>
      </c>
      <c r="B13" s="10" t="s">
        <v>10</v>
      </c>
      <c r="C13" s="16" t="s">
        <v>228</v>
      </c>
      <c r="D13" s="15">
        <f>12*781.8*2.29</f>
        <v>21483.863999999998</v>
      </c>
    </row>
    <row r="14" spans="1:4">
      <c r="A14" s="7">
        <v>14</v>
      </c>
      <c r="B14" s="10" t="s">
        <v>11</v>
      </c>
      <c r="C14" s="16" t="s">
        <v>228</v>
      </c>
      <c r="D14" s="15">
        <f>12*781.8*1.85</f>
        <v>17355.96</v>
      </c>
    </row>
    <row r="15" spans="1:4">
      <c r="A15" s="7">
        <v>15</v>
      </c>
      <c r="B15" s="10" t="s">
        <v>229</v>
      </c>
      <c r="C15" s="16" t="s">
        <v>228</v>
      </c>
      <c r="D15" s="15">
        <v>20000</v>
      </c>
    </row>
    <row r="16" spans="1:4">
      <c r="A16" s="7">
        <v>16</v>
      </c>
      <c r="B16" s="10" t="s">
        <v>13</v>
      </c>
      <c r="C16" s="16" t="s">
        <v>228</v>
      </c>
      <c r="D16" s="15">
        <f>12*781.8*2.28</f>
        <v>21390.047999999995</v>
      </c>
    </row>
    <row r="17" spans="1:4">
      <c r="A17" s="7">
        <v>18</v>
      </c>
      <c r="B17" s="10" t="s">
        <v>239</v>
      </c>
      <c r="C17" s="16" t="s">
        <v>228</v>
      </c>
      <c r="D17" s="15">
        <f>12*781.8*0.37</f>
        <v>3471.1919999999996</v>
      </c>
    </row>
    <row r="18" spans="1:4">
      <c r="A18" s="7">
        <v>22</v>
      </c>
      <c r="B18" s="10" t="s">
        <v>16</v>
      </c>
      <c r="C18" s="16" t="s">
        <v>228</v>
      </c>
      <c r="D18" s="15">
        <f>12*781.8*1.68</f>
        <v>15761.087999999996</v>
      </c>
    </row>
    <row r="19" spans="1:4">
      <c r="A19" s="7">
        <v>23</v>
      </c>
      <c r="B19" s="10" t="s">
        <v>17</v>
      </c>
      <c r="C19" s="16" t="s">
        <v>228</v>
      </c>
      <c r="D19" s="15">
        <f>12*781.8*2.28</f>
        <v>21390.047999999995</v>
      </c>
    </row>
    <row r="20" spans="1:4">
      <c r="A20" s="7">
        <v>24</v>
      </c>
      <c r="B20" s="10" t="s">
        <v>18</v>
      </c>
      <c r="C20" s="16" t="s">
        <v>228</v>
      </c>
      <c r="D20" s="15">
        <f>12*781.8*1.19</f>
        <v>11164.103999999998</v>
      </c>
    </row>
    <row r="21" spans="1:4">
      <c r="A21" s="7">
        <v>25</v>
      </c>
      <c r="B21" s="10" t="s">
        <v>19</v>
      </c>
      <c r="C21" s="16" t="s">
        <v>228</v>
      </c>
      <c r="D21" s="15">
        <f>12*781.8*2.66</f>
        <v>24955.055999999997</v>
      </c>
    </row>
    <row r="22" spans="1:4">
      <c r="A22" s="7">
        <v>26</v>
      </c>
      <c r="B22" s="10" t="s">
        <v>225</v>
      </c>
      <c r="C22" s="16" t="s">
        <v>228</v>
      </c>
      <c r="D22" s="15">
        <f>12*781.8*0.06</f>
        <v>562.89599999999984</v>
      </c>
    </row>
    <row r="23" spans="1:4">
      <c r="A23" s="7">
        <v>27</v>
      </c>
      <c r="B23" s="11" t="s">
        <v>20</v>
      </c>
      <c r="C23" s="16" t="s">
        <v>228</v>
      </c>
      <c r="D23" s="14">
        <f>D22+D21+D20+D19+D18+D17+D16+D15+D14+D13</f>
        <v>157534.25599999996</v>
      </c>
    </row>
    <row r="24" spans="1:4">
      <c r="A24" s="7">
        <v>28</v>
      </c>
      <c r="B24" s="8" t="s">
        <v>21</v>
      </c>
      <c r="C24" s="16" t="s">
        <v>228</v>
      </c>
      <c r="D24" s="14">
        <f>D9-D23</f>
        <v>-19999.999999999971</v>
      </c>
    </row>
    <row r="25" spans="1:4">
      <c r="A25" s="7">
        <v>29</v>
      </c>
      <c r="B25" s="97" t="s">
        <v>22</v>
      </c>
      <c r="C25" s="98"/>
      <c r="D25" s="99"/>
    </row>
    <row r="26" spans="1:4">
      <c r="A26" s="7">
        <v>30</v>
      </c>
      <c r="B26" s="8" t="s">
        <v>23</v>
      </c>
      <c r="C26" s="16"/>
      <c r="D26" s="14"/>
    </row>
    <row r="27" spans="1:4">
      <c r="A27" s="7">
        <v>35</v>
      </c>
      <c r="B27" s="9" t="s">
        <v>28</v>
      </c>
      <c r="C27" s="16" t="s">
        <v>228</v>
      </c>
      <c r="D27" s="93"/>
    </row>
    <row r="28" spans="1:4">
      <c r="A28" s="7">
        <v>42</v>
      </c>
      <c r="B28" s="9" t="s">
        <v>35</v>
      </c>
      <c r="C28" s="16" t="s">
        <v>228</v>
      </c>
      <c r="D28" s="93">
        <v>1000</v>
      </c>
    </row>
    <row r="29" spans="1:4">
      <c r="A29" s="7">
        <v>83</v>
      </c>
      <c r="B29" s="9" t="s">
        <v>80</v>
      </c>
      <c r="C29" s="16" t="s">
        <v>228</v>
      </c>
      <c r="D29" s="93"/>
    </row>
    <row r="30" spans="1:4">
      <c r="A30" s="7">
        <v>96</v>
      </c>
      <c r="B30" s="9" t="s">
        <v>94</v>
      </c>
      <c r="C30" s="16" t="s">
        <v>228</v>
      </c>
      <c r="D30" s="93"/>
    </row>
    <row r="31" spans="1:4">
      <c r="A31" s="7">
        <v>98</v>
      </c>
      <c r="B31" s="11" t="s">
        <v>20</v>
      </c>
      <c r="C31" s="16" t="s">
        <v>228</v>
      </c>
      <c r="D31" s="14">
        <f>D30+D29+D28+D27</f>
        <v>1000</v>
      </c>
    </row>
    <row r="32" spans="1:4">
      <c r="A32" s="7">
        <v>103</v>
      </c>
      <c r="B32" s="8" t="s">
        <v>21</v>
      </c>
      <c r="C32" s="16" t="s">
        <v>228</v>
      </c>
      <c r="D32" s="14">
        <f>D10-D31</f>
        <v>37089.295999999995</v>
      </c>
    </row>
  </sheetData>
  <mergeCells count="5">
    <mergeCell ref="A2:D2"/>
    <mergeCell ref="B3:D3"/>
    <mergeCell ref="B5:D5"/>
    <mergeCell ref="B12:D12"/>
    <mergeCell ref="B25:D25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D38"/>
  <sheetViews>
    <sheetView workbookViewId="0">
      <selection activeCell="B9" sqref="B9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1"/>
      <c r="B3" s="100"/>
      <c r="C3" s="100"/>
      <c r="D3" s="100"/>
    </row>
    <row r="4" spans="1:4">
      <c r="A4" s="1"/>
      <c r="B4" s="1"/>
      <c r="C4" s="1"/>
      <c r="D4" s="1"/>
    </row>
    <row r="5" spans="1:4">
      <c r="A5" s="5"/>
      <c r="B5" s="101"/>
      <c r="C5" s="101"/>
      <c r="D5" s="101"/>
    </row>
    <row r="6" spans="1:4">
      <c r="A6" s="2"/>
      <c r="B6" s="2"/>
      <c r="C6" s="2"/>
      <c r="D6" s="13"/>
    </row>
    <row r="7" spans="1:4">
      <c r="A7" s="6" t="s">
        <v>0</v>
      </c>
      <c r="B7" s="6" t="s">
        <v>1</v>
      </c>
      <c r="C7" s="6" t="s">
        <v>2</v>
      </c>
      <c r="D7" s="6" t="s">
        <v>3</v>
      </c>
    </row>
    <row r="8" spans="1:4">
      <c r="A8" s="7">
        <v>1</v>
      </c>
      <c r="B8" s="8" t="s">
        <v>242</v>
      </c>
      <c r="C8" s="16" t="s">
        <v>228</v>
      </c>
      <c r="D8" s="14">
        <f>D9+D10</f>
        <v>281990.592</v>
      </c>
    </row>
    <row r="9" spans="1:4">
      <c r="A9" s="7">
        <v>2</v>
      </c>
      <c r="B9" s="9" t="s">
        <v>5</v>
      </c>
      <c r="C9" s="16" t="s">
        <v>228</v>
      </c>
      <c r="D9" s="15">
        <f>14.66*12*1255.3</f>
        <v>220832.37600000002</v>
      </c>
    </row>
    <row r="10" spans="1:4">
      <c r="A10" s="7">
        <v>3</v>
      </c>
      <c r="B10" s="9" t="s">
        <v>6</v>
      </c>
      <c r="C10" s="16" t="s">
        <v>228</v>
      </c>
      <c r="D10" s="15">
        <f>4.06*1255.3*12</f>
        <v>61158.215999999986</v>
      </c>
    </row>
    <row r="11" spans="1:4">
      <c r="A11" s="7">
        <v>10</v>
      </c>
      <c r="B11" s="7"/>
      <c r="C11" s="7"/>
      <c r="D11" s="16"/>
    </row>
    <row r="12" spans="1:4">
      <c r="A12" s="7">
        <v>11</v>
      </c>
      <c r="B12" s="97" t="s">
        <v>9</v>
      </c>
      <c r="C12" s="98"/>
      <c r="D12" s="99"/>
    </row>
    <row r="13" spans="1:4">
      <c r="A13" s="7">
        <v>12</v>
      </c>
      <c r="B13" s="10" t="s">
        <v>10</v>
      </c>
      <c r="C13" s="16" t="s">
        <v>228</v>
      </c>
      <c r="D13" s="15">
        <f>12*1255.3*2.29</f>
        <v>34495.644</v>
      </c>
    </row>
    <row r="14" spans="1:4">
      <c r="A14" s="7">
        <v>14</v>
      </c>
      <c r="B14" s="10" t="s">
        <v>11</v>
      </c>
      <c r="C14" s="16" t="s">
        <v>228</v>
      </c>
      <c r="D14" s="15">
        <f>12*1255.3*1.85</f>
        <v>27867.66</v>
      </c>
    </row>
    <row r="15" spans="1:4">
      <c r="A15" s="7">
        <v>16</v>
      </c>
      <c r="B15" s="10" t="s">
        <v>229</v>
      </c>
      <c r="C15" s="16" t="s">
        <v>228</v>
      </c>
      <c r="D15" s="15">
        <v>20000</v>
      </c>
    </row>
    <row r="16" spans="1:4">
      <c r="A16" s="7">
        <v>18</v>
      </c>
      <c r="B16" s="10" t="s">
        <v>13</v>
      </c>
      <c r="C16" s="16" t="s">
        <v>228</v>
      </c>
      <c r="D16" s="15">
        <f>12*1255.3*2.28</f>
        <v>34345.007999999994</v>
      </c>
    </row>
    <row r="17" spans="1:4">
      <c r="A17" s="7">
        <v>22</v>
      </c>
      <c r="B17" s="10" t="s">
        <v>239</v>
      </c>
      <c r="C17" s="16" t="s">
        <v>228</v>
      </c>
      <c r="D17" s="15">
        <f>12*1255.3*0.37</f>
        <v>5573.5319999999992</v>
      </c>
    </row>
    <row r="18" spans="1:4">
      <c r="A18" s="7">
        <v>23</v>
      </c>
      <c r="B18" s="10" t="s">
        <v>16</v>
      </c>
      <c r="C18" s="16" t="s">
        <v>228</v>
      </c>
      <c r="D18" s="15">
        <f>12*1255.3*1.68</f>
        <v>25306.847999999998</v>
      </c>
    </row>
    <row r="19" spans="1:4">
      <c r="A19" s="7">
        <v>24</v>
      </c>
      <c r="B19" s="10" t="s">
        <v>17</v>
      </c>
      <c r="C19" s="16" t="s">
        <v>228</v>
      </c>
      <c r="D19" s="15">
        <f>12*1255.3*2.28</f>
        <v>34345.007999999994</v>
      </c>
    </row>
    <row r="20" spans="1:4">
      <c r="A20" s="7">
        <v>25</v>
      </c>
      <c r="B20" s="10" t="s">
        <v>18</v>
      </c>
      <c r="C20" s="16" t="s">
        <v>228</v>
      </c>
      <c r="D20" s="15">
        <f>12*1255.3*1.19</f>
        <v>17925.683999999997</v>
      </c>
    </row>
    <row r="21" spans="1:4">
      <c r="A21" s="7">
        <v>26</v>
      </c>
      <c r="B21" s="10" t="s">
        <v>19</v>
      </c>
      <c r="C21" s="16" t="s">
        <v>228</v>
      </c>
      <c r="D21" s="15">
        <f>12*1255.3*2.66</f>
        <v>40069.175999999999</v>
      </c>
    </row>
    <row r="22" spans="1:4">
      <c r="A22" s="7">
        <v>27</v>
      </c>
      <c r="B22" s="10" t="s">
        <v>225</v>
      </c>
      <c r="C22" s="16" t="s">
        <v>228</v>
      </c>
      <c r="D22" s="15">
        <f>12*1255.3*0.06</f>
        <v>903.81599999999992</v>
      </c>
    </row>
    <row r="23" spans="1:4">
      <c r="A23" s="7">
        <v>28</v>
      </c>
      <c r="B23" s="11" t="s">
        <v>20</v>
      </c>
      <c r="C23" s="16" t="s">
        <v>228</v>
      </c>
      <c r="D23" s="14">
        <f>D22+D21+D20+D19+D18+D17+D16+D15+D14+D13</f>
        <v>240832.37599999999</v>
      </c>
    </row>
    <row r="24" spans="1:4">
      <c r="A24" s="7"/>
      <c r="B24" s="8" t="s">
        <v>21</v>
      </c>
      <c r="C24" s="16" t="s">
        <v>228</v>
      </c>
      <c r="D24" s="94">
        <f>D9-D23</f>
        <v>-19999.999999999971</v>
      </c>
    </row>
    <row r="25" spans="1:4">
      <c r="A25" s="7">
        <v>29</v>
      </c>
      <c r="B25" s="97" t="s">
        <v>22</v>
      </c>
      <c r="C25" s="98"/>
      <c r="D25" s="99"/>
    </row>
    <row r="26" spans="1:4">
      <c r="A26" s="7">
        <v>30</v>
      </c>
      <c r="B26" s="8" t="s">
        <v>23</v>
      </c>
      <c r="C26" s="16" t="s">
        <v>228</v>
      </c>
      <c r="D26" s="14"/>
    </row>
    <row r="27" spans="1:4">
      <c r="A27" s="7">
        <v>33</v>
      </c>
      <c r="B27" s="9" t="s">
        <v>26</v>
      </c>
      <c r="C27" s="16" t="s">
        <v>228</v>
      </c>
      <c r="D27" s="15"/>
    </row>
    <row r="28" spans="1:4">
      <c r="A28" s="7">
        <v>35</v>
      </c>
      <c r="B28" s="9" t="s">
        <v>28</v>
      </c>
      <c r="C28" s="16" t="s">
        <v>228</v>
      </c>
      <c r="D28" s="15"/>
    </row>
    <row r="29" spans="1:4">
      <c r="A29" s="7">
        <v>42</v>
      </c>
      <c r="B29" s="9" t="s">
        <v>35</v>
      </c>
      <c r="C29" s="16" t="s">
        <v>228</v>
      </c>
      <c r="D29" s="15"/>
    </row>
    <row r="30" spans="1:4">
      <c r="A30" s="7">
        <v>60</v>
      </c>
      <c r="B30" s="9" t="s">
        <v>55</v>
      </c>
      <c r="C30" s="16" t="s">
        <v>228</v>
      </c>
      <c r="D30" s="15"/>
    </row>
    <row r="31" spans="1:4" ht="24">
      <c r="A31" s="7">
        <v>64</v>
      </c>
      <c r="B31" s="12" t="s">
        <v>59</v>
      </c>
      <c r="C31" s="16" t="s">
        <v>228</v>
      </c>
      <c r="D31" s="15"/>
    </row>
    <row r="32" spans="1:4">
      <c r="A32" s="7">
        <v>68</v>
      </c>
      <c r="B32" s="9" t="s">
        <v>63</v>
      </c>
      <c r="C32" s="16" t="s">
        <v>228</v>
      </c>
      <c r="D32" s="15"/>
    </row>
    <row r="33" spans="1:4">
      <c r="A33" s="7">
        <v>75</v>
      </c>
      <c r="B33" s="9" t="s">
        <v>70</v>
      </c>
      <c r="C33" s="16" t="s">
        <v>228</v>
      </c>
      <c r="D33" s="15"/>
    </row>
    <row r="34" spans="1:4">
      <c r="A34" s="7">
        <v>83</v>
      </c>
      <c r="B34" s="9" t="s">
        <v>80</v>
      </c>
      <c r="C34" s="16" t="s">
        <v>228</v>
      </c>
      <c r="D34" s="15"/>
    </row>
    <row r="35" spans="1:4">
      <c r="A35" s="7">
        <v>97</v>
      </c>
      <c r="B35" s="9" t="s">
        <v>95</v>
      </c>
      <c r="C35" s="16" t="s">
        <v>228</v>
      </c>
      <c r="D35" s="15"/>
    </row>
    <row r="36" spans="1:4">
      <c r="A36" s="7"/>
      <c r="B36" s="9" t="s">
        <v>231</v>
      </c>
      <c r="C36" s="16" t="s">
        <v>228</v>
      </c>
      <c r="D36" s="15"/>
    </row>
    <row r="37" spans="1:4">
      <c r="A37" s="7">
        <v>98</v>
      </c>
      <c r="B37" s="11" t="s">
        <v>20</v>
      </c>
      <c r="C37" s="16" t="s">
        <v>228</v>
      </c>
      <c r="D37" s="14">
        <f>D36+D35+D34+D33+D32+D31+D30+D29+D28+D27</f>
        <v>0</v>
      </c>
    </row>
    <row r="38" spans="1:4">
      <c r="A38" s="7">
        <v>103</v>
      </c>
      <c r="B38" s="8" t="s">
        <v>21</v>
      </c>
      <c r="C38" s="16" t="s">
        <v>228</v>
      </c>
      <c r="D38" s="14">
        <f>D10-D37</f>
        <v>61158.215999999986</v>
      </c>
    </row>
  </sheetData>
  <mergeCells count="5">
    <mergeCell ref="A2:D2"/>
    <mergeCell ref="B3:D3"/>
    <mergeCell ref="B5:D5"/>
    <mergeCell ref="B12:D12"/>
    <mergeCell ref="B25:D25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topLeftCell="A7" workbookViewId="0">
      <selection activeCell="D31" sqref="D31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281990.592</v>
      </c>
    </row>
    <row r="7" spans="1:4">
      <c r="A7" s="7">
        <v>2</v>
      </c>
      <c r="B7" s="9" t="s">
        <v>5</v>
      </c>
      <c r="C7" s="16" t="s">
        <v>228</v>
      </c>
      <c r="D7" s="15">
        <f>14.66*12*1255.3</f>
        <v>220832.37600000002</v>
      </c>
    </row>
    <row r="8" spans="1:4">
      <c r="A8" s="7">
        <v>3</v>
      </c>
      <c r="B8" s="9" t="s">
        <v>6</v>
      </c>
      <c r="C8" s="16" t="s">
        <v>228</v>
      </c>
      <c r="D8" s="15">
        <f>4.06*1255.3*12</f>
        <v>61158.215999999986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12*1255.3*2.29</f>
        <v>34495.644</v>
      </c>
    </row>
    <row r="12" spans="1:4">
      <c r="A12" s="7">
        <v>14</v>
      </c>
      <c r="B12" s="10" t="s">
        <v>11</v>
      </c>
      <c r="C12" s="16" t="s">
        <v>228</v>
      </c>
      <c r="D12" s="15">
        <f>12*1255.3*1.85</f>
        <v>27867.66</v>
      </c>
    </row>
    <row r="13" spans="1:4">
      <c r="A13" s="7">
        <v>15</v>
      </c>
      <c r="B13" s="10" t="s">
        <v>229</v>
      </c>
      <c r="C13" s="16" t="s">
        <v>228</v>
      </c>
      <c r="D13" s="15">
        <v>20000</v>
      </c>
    </row>
    <row r="14" spans="1:4">
      <c r="A14" s="7">
        <v>16</v>
      </c>
      <c r="B14" s="10" t="s">
        <v>13</v>
      </c>
      <c r="C14" s="16" t="s">
        <v>228</v>
      </c>
      <c r="D14" s="15">
        <f>12*1255.3*2.28</f>
        <v>34345.007999999994</v>
      </c>
    </row>
    <row r="15" spans="1:4">
      <c r="A15" s="7">
        <v>22</v>
      </c>
      <c r="B15" s="10" t="s">
        <v>239</v>
      </c>
      <c r="C15" s="16" t="s">
        <v>228</v>
      </c>
      <c r="D15" s="15">
        <f>12*1255.3*0.37</f>
        <v>5573.5319999999992</v>
      </c>
    </row>
    <row r="16" spans="1:4">
      <c r="A16" s="7">
        <v>23</v>
      </c>
      <c r="B16" s="10" t="s">
        <v>16</v>
      </c>
      <c r="C16" s="16" t="s">
        <v>228</v>
      </c>
      <c r="D16" s="15">
        <f>12*1255.3*1.68</f>
        <v>25306.847999999998</v>
      </c>
    </row>
    <row r="17" spans="1:4">
      <c r="A17" s="7">
        <v>24</v>
      </c>
      <c r="B17" s="10" t="s">
        <v>17</v>
      </c>
      <c r="C17" s="16" t="s">
        <v>228</v>
      </c>
      <c r="D17" s="15">
        <f>12*1255.3*2.28</f>
        <v>34345.007999999994</v>
      </c>
    </row>
    <row r="18" spans="1:4">
      <c r="A18" s="7">
        <v>25</v>
      </c>
      <c r="B18" s="10" t="s">
        <v>18</v>
      </c>
      <c r="C18" s="16" t="s">
        <v>228</v>
      </c>
      <c r="D18" s="15">
        <f>12*1255.3*1.19</f>
        <v>17925.683999999997</v>
      </c>
    </row>
    <row r="19" spans="1:4">
      <c r="A19" s="7">
        <v>26</v>
      </c>
      <c r="B19" s="10" t="s">
        <v>19</v>
      </c>
      <c r="C19" s="16" t="s">
        <v>228</v>
      </c>
      <c r="D19" s="15">
        <f>12*1255.3*2.66</f>
        <v>40069.175999999999</v>
      </c>
    </row>
    <row r="20" spans="1:4">
      <c r="A20" s="7">
        <v>27</v>
      </c>
      <c r="B20" s="10" t="s">
        <v>225</v>
      </c>
      <c r="C20" s="16" t="s">
        <v>228</v>
      </c>
      <c r="D20" s="15">
        <f>12*1255.3*0.06</f>
        <v>903.81599999999992</v>
      </c>
    </row>
    <row r="21" spans="1:4">
      <c r="A21" s="7">
        <v>28</v>
      </c>
      <c r="B21" s="8" t="s">
        <v>21</v>
      </c>
      <c r="C21" s="16" t="s">
        <v>228</v>
      </c>
      <c r="D21" s="14">
        <f>D7-D20</f>
        <v>219928.56000000003</v>
      </c>
    </row>
    <row r="22" spans="1:4">
      <c r="A22" s="7">
        <v>29</v>
      </c>
      <c r="B22" s="97" t="s">
        <v>22</v>
      </c>
      <c r="C22" s="98"/>
      <c r="D22" s="99"/>
    </row>
    <row r="23" spans="1:4">
      <c r="A23" s="7">
        <v>30</v>
      </c>
      <c r="B23" s="8" t="s">
        <v>23</v>
      </c>
      <c r="C23" s="16" t="s">
        <v>228</v>
      </c>
      <c r="D23" s="14"/>
    </row>
    <row r="24" spans="1:4">
      <c r="A24" s="7">
        <v>31</v>
      </c>
      <c r="B24" s="9" t="s">
        <v>24</v>
      </c>
      <c r="C24" s="16" t="s">
        <v>228</v>
      </c>
      <c r="D24" s="15"/>
    </row>
    <row r="25" spans="1:4">
      <c r="A25" s="7">
        <v>33</v>
      </c>
      <c r="B25" s="9" t="s">
        <v>26</v>
      </c>
      <c r="C25" s="16" t="s">
        <v>228</v>
      </c>
      <c r="D25" s="15"/>
    </row>
    <row r="26" spans="1:4">
      <c r="A26" s="7">
        <v>35</v>
      </c>
      <c r="B26" s="9" t="s">
        <v>28</v>
      </c>
      <c r="C26" s="16" t="s">
        <v>228</v>
      </c>
      <c r="D26" s="15"/>
    </row>
    <row r="27" spans="1:4">
      <c r="A27" s="7">
        <v>41</v>
      </c>
      <c r="B27" s="9" t="s">
        <v>34</v>
      </c>
      <c r="C27" s="16" t="s">
        <v>228</v>
      </c>
      <c r="D27" s="15"/>
    </row>
    <row r="28" spans="1:4">
      <c r="A28" s="7">
        <v>60</v>
      </c>
      <c r="B28" s="9" t="s">
        <v>55</v>
      </c>
      <c r="C28" s="16" t="s">
        <v>228</v>
      </c>
      <c r="D28" s="15"/>
    </row>
    <row r="29" spans="1:4" ht="24">
      <c r="A29" s="7">
        <v>64</v>
      </c>
      <c r="B29" s="12" t="s">
        <v>59</v>
      </c>
      <c r="C29" s="16" t="s">
        <v>228</v>
      </c>
      <c r="D29" s="15"/>
    </row>
    <row r="30" spans="1:4">
      <c r="A30" s="7">
        <v>68</v>
      </c>
      <c r="B30" s="9" t="s">
        <v>63</v>
      </c>
      <c r="C30" s="16" t="s">
        <v>228</v>
      </c>
      <c r="D30" s="15">
        <v>1500</v>
      </c>
    </row>
    <row r="31" spans="1:4">
      <c r="A31" s="7">
        <v>75</v>
      </c>
      <c r="B31" s="9" t="s">
        <v>70</v>
      </c>
      <c r="C31" s="16" t="s">
        <v>228</v>
      </c>
      <c r="D31" s="15"/>
    </row>
    <row r="32" spans="1:4">
      <c r="A32" s="7">
        <v>83</v>
      </c>
      <c r="B32" s="9" t="s">
        <v>80</v>
      </c>
      <c r="C32" s="16" t="s">
        <v>228</v>
      </c>
      <c r="D32" s="15"/>
    </row>
    <row r="33" spans="1:4">
      <c r="A33" s="7">
        <v>97</v>
      </c>
      <c r="B33" s="9" t="s">
        <v>231</v>
      </c>
      <c r="C33" s="16" t="s">
        <v>228</v>
      </c>
      <c r="D33" s="15">
        <v>10000</v>
      </c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D33+D32+D31+D30+D29+D28+D27+D26+D25+D24</f>
        <v>11500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49658.215999999986</v>
      </c>
    </row>
  </sheetData>
  <mergeCells count="4">
    <mergeCell ref="A2:D2"/>
    <mergeCell ref="B3:D3"/>
    <mergeCell ref="B10:D10"/>
    <mergeCell ref="B22:D2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workbookViewId="0">
      <selection activeCell="B9" sqref="B9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1"/>
      <c r="B3" s="100"/>
      <c r="C3" s="100"/>
      <c r="D3" s="100"/>
    </row>
    <row r="4" spans="1:4">
      <c r="A4" s="1"/>
      <c r="B4" s="1"/>
      <c r="C4" s="1"/>
      <c r="D4" s="1"/>
    </row>
    <row r="5" spans="1:4">
      <c r="A5" s="5"/>
      <c r="B5" s="101"/>
      <c r="C5" s="101"/>
      <c r="D5" s="101"/>
    </row>
    <row r="6" spans="1:4">
      <c r="A6" s="2"/>
      <c r="B6" s="2"/>
      <c r="C6" s="2"/>
      <c r="D6" s="13"/>
    </row>
    <row r="7" spans="1:4">
      <c r="A7" s="6" t="s">
        <v>0</v>
      </c>
      <c r="B7" s="6" t="s">
        <v>1</v>
      </c>
      <c r="C7" s="6" t="s">
        <v>2</v>
      </c>
      <c r="D7" s="6" t="s">
        <v>3</v>
      </c>
    </row>
    <row r="8" spans="1:4">
      <c r="A8" s="7">
        <v>1</v>
      </c>
      <c r="B8" s="8" t="s">
        <v>242</v>
      </c>
      <c r="C8" s="16" t="s">
        <v>228</v>
      </c>
      <c r="D8" s="14">
        <f>D9+D10</f>
        <v>86283.036000000007</v>
      </c>
    </row>
    <row r="9" spans="1:4">
      <c r="A9" s="7">
        <v>2</v>
      </c>
      <c r="B9" s="9" t="s">
        <v>5</v>
      </c>
      <c r="C9" s="16" t="s">
        <v>228</v>
      </c>
      <c r="D9" s="15">
        <f>14.66*12*384.3</f>
        <v>67606.056000000011</v>
      </c>
    </row>
    <row r="10" spans="1:4">
      <c r="A10" s="7">
        <v>3</v>
      </c>
      <c r="B10" s="9" t="s">
        <v>6</v>
      </c>
      <c r="C10" s="16" t="s">
        <v>228</v>
      </c>
      <c r="D10" s="15">
        <f>12*4.05*384.3</f>
        <v>18676.98</v>
      </c>
    </row>
    <row r="11" spans="1:4">
      <c r="A11" s="7">
        <v>10</v>
      </c>
      <c r="B11" s="7"/>
      <c r="C11" s="7"/>
      <c r="D11" s="16"/>
    </row>
    <row r="12" spans="1:4">
      <c r="A12" s="7">
        <v>11</v>
      </c>
      <c r="B12" s="97" t="s">
        <v>9</v>
      </c>
      <c r="C12" s="98"/>
      <c r="D12" s="99"/>
    </row>
    <row r="13" spans="1:4">
      <c r="A13" s="7">
        <v>12</v>
      </c>
      <c r="B13" s="10" t="s">
        <v>10</v>
      </c>
      <c r="C13" s="16" t="s">
        <v>228</v>
      </c>
      <c r="D13" s="15">
        <f>12*384.3*2.29</f>
        <v>10560.564</v>
      </c>
    </row>
    <row r="14" spans="1:4">
      <c r="A14" s="7">
        <v>14</v>
      </c>
      <c r="B14" s="10" t="s">
        <v>11</v>
      </c>
      <c r="C14" s="16" t="s">
        <v>228</v>
      </c>
      <c r="D14" s="15">
        <f>12*384.3*1.85</f>
        <v>8531.4600000000009</v>
      </c>
    </row>
    <row r="15" spans="1:4">
      <c r="A15" s="7">
        <v>15</v>
      </c>
      <c r="B15" s="10" t="s">
        <v>229</v>
      </c>
      <c r="C15" s="16" t="s">
        <v>228</v>
      </c>
      <c r="D15" s="15">
        <v>20000</v>
      </c>
    </row>
    <row r="16" spans="1:4">
      <c r="A16" s="7">
        <v>16</v>
      </c>
      <c r="B16" s="10" t="s">
        <v>13</v>
      </c>
      <c r="C16" s="16" t="s">
        <v>228</v>
      </c>
      <c r="D16" s="15">
        <f>12*384.3*2.28</f>
        <v>10514.448</v>
      </c>
    </row>
    <row r="17" spans="1:4">
      <c r="A17" s="7">
        <v>22</v>
      </c>
      <c r="B17" s="10" t="s">
        <v>239</v>
      </c>
      <c r="C17" s="16" t="s">
        <v>228</v>
      </c>
      <c r="D17" s="15">
        <f>12*384.3*0.37</f>
        <v>1706.2920000000001</v>
      </c>
    </row>
    <row r="18" spans="1:4">
      <c r="A18" s="7">
        <v>23</v>
      </c>
      <c r="B18" s="10" t="s">
        <v>16</v>
      </c>
      <c r="C18" s="16" t="s">
        <v>228</v>
      </c>
      <c r="D18" s="15">
        <f>12*384.3*1.68</f>
        <v>7747.4880000000003</v>
      </c>
    </row>
    <row r="19" spans="1:4">
      <c r="A19" s="7">
        <v>24</v>
      </c>
      <c r="B19" s="10" t="s">
        <v>17</v>
      </c>
      <c r="C19" s="16" t="s">
        <v>228</v>
      </c>
      <c r="D19" s="15">
        <f>12*384.3*2.28</f>
        <v>10514.448</v>
      </c>
    </row>
    <row r="20" spans="1:4">
      <c r="A20" s="7">
        <v>25</v>
      </c>
      <c r="B20" s="10" t="s">
        <v>18</v>
      </c>
      <c r="C20" s="16" t="s">
        <v>228</v>
      </c>
      <c r="D20" s="15">
        <f>12*384.3*1.19</f>
        <v>5487.8040000000001</v>
      </c>
    </row>
    <row r="21" spans="1:4">
      <c r="A21" s="7">
        <v>26</v>
      </c>
      <c r="B21" s="10" t="s">
        <v>19</v>
      </c>
      <c r="C21" s="16" t="s">
        <v>228</v>
      </c>
      <c r="D21" s="15">
        <f>12*384.3*2.66</f>
        <v>12266.856000000002</v>
      </c>
    </row>
    <row r="22" spans="1:4">
      <c r="A22" s="7">
        <v>27</v>
      </c>
      <c r="B22" s="10" t="s">
        <v>225</v>
      </c>
      <c r="C22" s="16" t="s">
        <v>228</v>
      </c>
      <c r="D22" s="15">
        <f>12*384.3*0.06</f>
        <v>276.69600000000003</v>
      </c>
    </row>
    <row r="23" spans="1:4">
      <c r="A23" s="7"/>
      <c r="B23" s="11" t="s">
        <v>20</v>
      </c>
      <c r="C23" s="16" t="s">
        <v>228</v>
      </c>
      <c r="D23" s="95">
        <f>D22+D21+D20+D19+D18+D17+D16+D15+D14+D13</f>
        <v>87606.056000000011</v>
      </c>
    </row>
    <row r="24" spans="1:4">
      <c r="A24" s="7">
        <v>28</v>
      </c>
      <c r="B24" s="8" t="s">
        <v>21</v>
      </c>
      <c r="C24" s="16" t="s">
        <v>228</v>
      </c>
      <c r="D24" s="14">
        <f>D9-D23</f>
        <v>-20000</v>
      </c>
    </row>
    <row r="25" spans="1:4">
      <c r="A25" s="7">
        <v>29</v>
      </c>
      <c r="B25" s="97" t="s">
        <v>22</v>
      </c>
      <c r="C25" s="98"/>
      <c r="D25" s="99"/>
    </row>
    <row r="26" spans="1:4">
      <c r="A26" s="7">
        <v>30</v>
      </c>
      <c r="B26" s="8" t="s">
        <v>23</v>
      </c>
      <c r="C26" s="16" t="s">
        <v>228</v>
      </c>
      <c r="D26" s="14"/>
    </row>
    <row r="27" spans="1:4">
      <c r="A27" s="7">
        <v>35</v>
      </c>
      <c r="B27" s="9" t="s">
        <v>28</v>
      </c>
      <c r="C27" s="16" t="s">
        <v>228</v>
      </c>
      <c r="D27" s="15">
        <v>2000</v>
      </c>
    </row>
    <row r="28" spans="1:4">
      <c r="A28" s="7">
        <v>42</v>
      </c>
      <c r="B28" s="9" t="s">
        <v>35</v>
      </c>
      <c r="C28" s="16" t="s">
        <v>228</v>
      </c>
      <c r="D28" s="15"/>
    </row>
    <row r="29" spans="1:4">
      <c r="A29" s="7">
        <v>60</v>
      </c>
      <c r="B29" s="9" t="s">
        <v>55</v>
      </c>
      <c r="C29" s="16" t="s">
        <v>228</v>
      </c>
      <c r="D29" s="15"/>
    </row>
    <row r="30" spans="1:4">
      <c r="A30" s="7">
        <v>68</v>
      </c>
      <c r="B30" s="9" t="s">
        <v>63</v>
      </c>
      <c r="C30" s="16" t="s">
        <v>228</v>
      </c>
      <c r="D30" s="15"/>
    </row>
    <row r="31" spans="1:4">
      <c r="A31" s="7">
        <v>75</v>
      </c>
      <c r="B31" s="9" t="s">
        <v>70</v>
      </c>
      <c r="C31" s="16" t="s">
        <v>228</v>
      </c>
      <c r="D31" s="15"/>
    </row>
    <row r="32" spans="1:4">
      <c r="A32" s="7">
        <v>83</v>
      </c>
      <c r="B32" s="9" t="s">
        <v>80</v>
      </c>
      <c r="C32" s="16" t="s">
        <v>228</v>
      </c>
      <c r="D32" s="15"/>
    </row>
    <row r="33" spans="1:4">
      <c r="A33" s="7">
        <v>97</v>
      </c>
      <c r="B33" s="9" t="s">
        <v>231</v>
      </c>
      <c r="C33" s="16" t="s">
        <v>228</v>
      </c>
      <c r="D33" s="15">
        <v>10000</v>
      </c>
    </row>
    <row r="34" spans="1:4">
      <c r="A34" s="7">
        <v>98</v>
      </c>
      <c r="B34" s="11" t="s">
        <v>20</v>
      </c>
      <c r="C34" s="16" t="s">
        <v>228</v>
      </c>
      <c r="D34" s="14">
        <f>D33+D32+D31+D30+D29+D28+D27</f>
        <v>12000</v>
      </c>
    </row>
    <row r="35" spans="1:4">
      <c r="A35" s="7">
        <v>103</v>
      </c>
      <c r="B35" s="8" t="s">
        <v>21</v>
      </c>
      <c r="C35" s="16" t="s">
        <v>228</v>
      </c>
      <c r="D35" s="14">
        <f>D10-D34</f>
        <v>6676.98</v>
      </c>
    </row>
  </sheetData>
  <mergeCells count="5">
    <mergeCell ref="A2:D2"/>
    <mergeCell ref="B3:D3"/>
    <mergeCell ref="B5:D5"/>
    <mergeCell ref="B12:D12"/>
    <mergeCell ref="B25:D25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topLeftCell="A7" workbookViewId="0">
      <selection activeCell="H34" sqref="H34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89022.180000000008</v>
      </c>
    </row>
    <row r="7" spans="1:4">
      <c r="A7" s="7">
        <v>2</v>
      </c>
      <c r="B7" s="9" t="s">
        <v>5</v>
      </c>
      <c r="C7" s="16" t="s">
        <v>228</v>
      </c>
      <c r="D7" s="15">
        <f>14.66*12*396.5</f>
        <v>69752.280000000013</v>
      </c>
    </row>
    <row r="8" spans="1:4">
      <c r="A8" s="7">
        <v>3</v>
      </c>
      <c r="B8" s="9" t="s">
        <v>6</v>
      </c>
      <c r="C8" s="16" t="s">
        <v>228</v>
      </c>
      <c r="D8" s="15">
        <f>12*4.05*396.5</f>
        <v>19269.899999999998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12*396.5*2.29</f>
        <v>10895.82</v>
      </c>
    </row>
    <row r="12" spans="1:4">
      <c r="A12" s="7">
        <v>14</v>
      </c>
      <c r="B12" s="10" t="s">
        <v>11</v>
      </c>
      <c r="C12" s="16" t="s">
        <v>228</v>
      </c>
      <c r="D12" s="15">
        <f>12*396.5*1.85</f>
        <v>8802.3000000000011</v>
      </c>
    </row>
    <row r="13" spans="1:4">
      <c r="A13" s="7">
        <v>15</v>
      </c>
      <c r="B13" s="10" t="s">
        <v>229</v>
      </c>
      <c r="C13" s="16" t="s">
        <v>228</v>
      </c>
      <c r="D13" s="15">
        <v>20000</v>
      </c>
    </row>
    <row r="14" spans="1:4">
      <c r="A14" s="7">
        <v>16</v>
      </c>
      <c r="B14" s="10" t="s">
        <v>13</v>
      </c>
      <c r="C14" s="16" t="s">
        <v>228</v>
      </c>
      <c r="D14" s="15">
        <f>12*396.5*2.28</f>
        <v>10848.24</v>
      </c>
    </row>
    <row r="15" spans="1:4">
      <c r="A15" s="7">
        <v>22</v>
      </c>
      <c r="B15" s="10" t="s">
        <v>239</v>
      </c>
      <c r="C15" s="16" t="s">
        <v>228</v>
      </c>
      <c r="D15" s="15">
        <f>12*396.5*0.37</f>
        <v>1760.46</v>
      </c>
    </row>
    <row r="16" spans="1:4">
      <c r="A16" s="7">
        <v>23</v>
      </c>
      <c r="B16" s="10" t="s">
        <v>16</v>
      </c>
      <c r="C16" s="16" t="s">
        <v>228</v>
      </c>
      <c r="D16" s="15">
        <f>12*396.5*1.68</f>
        <v>7993.44</v>
      </c>
    </row>
    <row r="17" spans="1:4">
      <c r="A17" s="7">
        <v>24</v>
      </c>
      <c r="B17" s="10" t="s">
        <v>17</v>
      </c>
      <c r="C17" s="16" t="s">
        <v>228</v>
      </c>
      <c r="D17" s="15">
        <f>12*396.5*2.28</f>
        <v>10848.24</v>
      </c>
    </row>
    <row r="18" spans="1:4">
      <c r="A18" s="7">
        <v>25</v>
      </c>
      <c r="B18" s="10" t="s">
        <v>18</v>
      </c>
      <c r="C18" s="16" t="s">
        <v>228</v>
      </c>
      <c r="D18" s="15">
        <f>12*396.5*1.19</f>
        <v>5662.0199999999995</v>
      </c>
    </row>
    <row r="19" spans="1:4">
      <c r="A19" s="7"/>
      <c r="B19" s="10" t="s">
        <v>19</v>
      </c>
      <c r="C19" s="16" t="s">
        <v>228</v>
      </c>
      <c r="D19" s="15">
        <f>12*396.5*2.66</f>
        <v>12656.28</v>
      </c>
    </row>
    <row r="20" spans="1:4">
      <c r="A20" s="7">
        <v>26</v>
      </c>
      <c r="B20" s="10" t="s">
        <v>225</v>
      </c>
      <c r="C20" s="16" t="s">
        <v>228</v>
      </c>
      <c r="D20" s="15">
        <f>12*396.5*0.06</f>
        <v>285.47999999999996</v>
      </c>
    </row>
    <row r="21" spans="1:4">
      <c r="A21" s="7">
        <v>27</v>
      </c>
      <c r="B21" s="11" t="s">
        <v>20</v>
      </c>
      <c r="C21" s="16" t="s">
        <v>228</v>
      </c>
      <c r="D21" s="95">
        <f>D20+D19+D18+D17+D16+D15+D14+D13+D12+D11</f>
        <v>89752.28</v>
      </c>
    </row>
    <row r="22" spans="1:4">
      <c r="A22" s="7">
        <v>28</v>
      </c>
      <c r="B22" s="8" t="s">
        <v>21</v>
      </c>
      <c r="C22" s="16" t="s">
        <v>228</v>
      </c>
      <c r="D22" s="14">
        <f>D7-D21</f>
        <v>-19999.999999999985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15">
        <v>500</v>
      </c>
    </row>
    <row r="26" spans="1:4">
      <c r="A26" s="7">
        <v>33</v>
      </c>
      <c r="B26" s="9" t="s">
        <v>26</v>
      </c>
      <c r="C26" s="16" t="s">
        <v>228</v>
      </c>
      <c r="D26" s="15"/>
    </row>
    <row r="27" spans="1:4">
      <c r="A27" s="7">
        <v>35</v>
      </c>
      <c r="B27" s="9" t="s">
        <v>28</v>
      </c>
      <c r="C27" s="16" t="s">
        <v>228</v>
      </c>
      <c r="D27" s="15"/>
    </row>
    <row r="28" spans="1:4">
      <c r="A28" s="7">
        <v>42</v>
      </c>
      <c r="B28" s="9" t="s">
        <v>35</v>
      </c>
      <c r="C28" s="16" t="s">
        <v>228</v>
      </c>
      <c r="D28" s="15"/>
    </row>
    <row r="29" spans="1:4">
      <c r="A29" s="7">
        <v>60</v>
      </c>
      <c r="B29" s="9" t="s">
        <v>55</v>
      </c>
      <c r="C29" s="16" t="s">
        <v>228</v>
      </c>
      <c r="D29" s="15"/>
    </row>
    <row r="30" spans="1:4">
      <c r="A30" s="7">
        <v>63</v>
      </c>
      <c r="B30" s="9" t="s">
        <v>58</v>
      </c>
      <c r="C30" s="16" t="s">
        <v>228</v>
      </c>
      <c r="D30" s="15"/>
    </row>
    <row r="31" spans="1:4" ht="24">
      <c r="A31" s="7">
        <v>64</v>
      </c>
      <c r="B31" s="12" t="s">
        <v>59</v>
      </c>
      <c r="C31" s="16" t="s">
        <v>228</v>
      </c>
      <c r="D31" s="15"/>
    </row>
    <row r="32" spans="1:4">
      <c r="A32" s="7">
        <v>68</v>
      </c>
      <c r="B32" s="9" t="s">
        <v>230</v>
      </c>
      <c r="C32" s="16" t="s">
        <v>228</v>
      </c>
      <c r="D32" s="15"/>
    </row>
    <row r="33" spans="1:4">
      <c r="A33" s="7">
        <v>83</v>
      </c>
      <c r="B33" s="9" t="s">
        <v>80</v>
      </c>
      <c r="C33" s="16" t="s">
        <v>228</v>
      </c>
      <c r="D33" s="15">
        <v>28000</v>
      </c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</f>
        <v>28500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-9230.1000000000022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D34"/>
  <sheetViews>
    <sheetView topLeftCell="A7" workbookViewId="0">
      <selection activeCell="I37" sqref="I37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86103.420000000013</v>
      </c>
    </row>
    <row r="7" spans="1:4">
      <c r="A7" s="7">
        <v>2</v>
      </c>
      <c r="B7" s="9" t="s">
        <v>5</v>
      </c>
      <c r="C7" s="16" t="s">
        <v>228</v>
      </c>
      <c r="D7" s="15">
        <f>14.66*12*383.5</f>
        <v>67465.320000000007</v>
      </c>
    </row>
    <row r="8" spans="1:4">
      <c r="A8" s="7">
        <v>3</v>
      </c>
      <c r="B8" s="9" t="s">
        <v>6</v>
      </c>
      <c r="C8" s="16" t="s">
        <v>228</v>
      </c>
      <c r="D8" s="15">
        <f>12*4.05*383.5</f>
        <v>18638.099999999999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12*383.5*2.29</f>
        <v>10538.58</v>
      </c>
    </row>
    <row r="12" spans="1:4">
      <c r="A12" s="7">
        <v>14</v>
      </c>
      <c r="B12" s="10" t="s">
        <v>11</v>
      </c>
      <c r="C12" s="16" t="s">
        <v>228</v>
      </c>
      <c r="D12" s="15">
        <f>12*383.5*1.85</f>
        <v>8513.7000000000007</v>
      </c>
    </row>
    <row r="13" spans="1:4">
      <c r="A13" s="7">
        <v>15</v>
      </c>
      <c r="B13" s="10" t="s">
        <v>229</v>
      </c>
      <c r="C13" s="16" t="s">
        <v>228</v>
      </c>
      <c r="D13" s="15">
        <v>20000</v>
      </c>
    </row>
    <row r="14" spans="1:4">
      <c r="A14" s="7">
        <v>16</v>
      </c>
      <c r="B14" s="10" t="s">
        <v>13</v>
      </c>
      <c r="C14" s="16" t="s">
        <v>228</v>
      </c>
      <c r="D14" s="15">
        <f>12*383.5*2.28</f>
        <v>10492.56</v>
      </c>
    </row>
    <row r="15" spans="1:4">
      <c r="A15" s="7">
        <v>22</v>
      </c>
      <c r="B15" s="10" t="s">
        <v>239</v>
      </c>
      <c r="C15" s="16" t="s">
        <v>228</v>
      </c>
      <c r="D15" s="15">
        <f>12*383.5*0.37</f>
        <v>1702.74</v>
      </c>
    </row>
    <row r="16" spans="1:4">
      <c r="A16" s="7">
        <v>23</v>
      </c>
      <c r="B16" s="10" t="s">
        <v>16</v>
      </c>
      <c r="C16" s="16" t="s">
        <v>228</v>
      </c>
      <c r="D16" s="15">
        <f>12*383.5*1.68</f>
        <v>7731.36</v>
      </c>
    </row>
    <row r="17" spans="1:4">
      <c r="A17" s="7">
        <v>24</v>
      </c>
      <c r="B17" s="10" t="s">
        <v>17</v>
      </c>
      <c r="C17" s="16" t="s">
        <v>228</v>
      </c>
      <c r="D17" s="15">
        <f>12*383.5*2.28</f>
        <v>10492.56</v>
      </c>
    </row>
    <row r="18" spans="1:4">
      <c r="A18" s="7">
        <v>25</v>
      </c>
      <c r="B18" s="10" t="s">
        <v>18</v>
      </c>
      <c r="C18" s="16" t="s">
        <v>228</v>
      </c>
      <c r="D18" s="15">
        <f>12*383.5*1.19</f>
        <v>5476.38</v>
      </c>
    </row>
    <row r="19" spans="1:4">
      <c r="A19" s="7">
        <v>26</v>
      </c>
      <c r="B19" s="10" t="s">
        <v>19</v>
      </c>
      <c r="C19" s="16" t="s">
        <v>228</v>
      </c>
      <c r="D19" s="15">
        <f>12*383.5*2.66</f>
        <v>12241.320000000002</v>
      </c>
    </row>
    <row r="20" spans="1:4">
      <c r="A20" s="7"/>
      <c r="B20" s="10" t="s">
        <v>225</v>
      </c>
      <c r="C20" s="16" t="s">
        <v>228</v>
      </c>
      <c r="D20" s="15">
        <f>12*383.5*0.06</f>
        <v>276.12</v>
      </c>
    </row>
    <row r="21" spans="1:4">
      <c r="A21" s="7">
        <v>27</v>
      </c>
      <c r="B21" s="11" t="s">
        <v>20</v>
      </c>
      <c r="C21" s="16" t="s">
        <v>228</v>
      </c>
      <c r="D21" s="95">
        <f>D20+D19+D18+D17+D16+D15+D14+D13+D12+D11</f>
        <v>87465.32</v>
      </c>
    </row>
    <row r="22" spans="1:4">
      <c r="A22" s="7">
        <v>28</v>
      </c>
      <c r="B22" s="8" t="s">
        <v>21</v>
      </c>
      <c r="C22" s="16" t="s">
        <v>228</v>
      </c>
      <c r="D22" s="14">
        <f>D7-D21</f>
        <v>-20000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15"/>
    </row>
    <row r="26" spans="1:4">
      <c r="A26" s="7">
        <v>33</v>
      </c>
      <c r="B26" s="9" t="s">
        <v>26</v>
      </c>
      <c r="C26" s="16" t="s">
        <v>228</v>
      </c>
      <c r="D26" s="15"/>
    </row>
    <row r="27" spans="1:4">
      <c r="A27" s="7">
        <v>35</v>
      </c>
      <c r="B27" s="9" t="s">
        <v>28</v>
      </c>
      <c r="C27" s="16" t="s">
        <v>228</v>
      </c>
      <c r="D27" s="15"/>
    </row>
    <row r="28" spans="1:4">
      <c r="A28" s="7">
        <v>42</v>
      </c>
      <c r="B28" s="9" t="s">
        <v>35</v>
      </c>
      <c r="C28" s="16" t="s">
        <v>228</v>
      </c>
      <c r="D28" s="15"/>
    </row>
    <row r="29" spans="1:4">
      <c r="A29" s="7">
        <v>68</v>
      </c>
      <c r="B29" s="9" t="s">
        <v>63</v>
      </c>
      <c r="C29" s="16" t="s">
        <v>228</v>
      </c>
      <c r="D29" s="15"/>
    </row>
    <row r="30" spans="1:4">
      <c r="A30" s="7">
        <v>80</v>
      </c>
      <c r="B30" s="9" t="s">
        <v>76</v>
      </c>
      <c r="C30" s="16" t="s">
        <v>228</v>
      </c>
      <c r="D30" s="15"/>
    </row>
    <row r="31" spans="1:4">
      <c r="A31" s="7">
        <v>83</v>
      </c>
      <c r="B31" s="9" t="s">
        <v>80</v>
      </c>
      <c r="C31" s="16" t="s">
        <v>228</v>
      </c>
      <c r="D31" s="15"/>
    </row>
    <row r="32" spans="1:4">
      <c r="A32" s="7">
        <v>87</v>
      </c>
      <c r="B32" s="9" t="s">
        <v>84</v>
      </c>
      <c r="C32" s="16" t="s">
        <v>228</v>
      </c>
      <c r="D32" s="15">
        <v>15000</v>
      </c>
    </row>
    <row r="33" spans="1:4">
      <c r="A33" s="7">
        <v>98</v>
      </c>
      <c r="B33" s="11" t="s">
        <v>20</v>
      </c>
      <c r="C33" s="16" t="s">
        <v>228</v>
      </c>
      <c r="D33" s="14">
        <f>D32+D31+D30+D29+D28+D27+D26+D25</f>
        <v>15000</v>
      </c>
    </row>
    <row r="34" spans="1:4">
      <c r="A34" s="7">
        <v>103</v>
      </c>
      <c r="B34" s="8" t="s">
        <v>21</v>
      </c>
      <c r="C34" s="16" t="s">
        <v>228</v>
      </c>
      <c r="D34" s="14">
        <f>D8-D33</f>
        <v>3638.0999999999985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D37"/>
  <sheetViews>
    <sheetView topLeftCell="A4" workbookViewId="0">
      <selection activeCell="E10" sqref="E10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85497.216000000015</v>
      </c>
    </row>
    <row r="7" spans="1:4">
      <c r="A7" s="7">
        <v>2</v>
      </c>
      <c r="B7" s="9" t="s">
        <v>5</v>
      </c>
      <c r="C7" s="16" t="s">
        <v>228</v>
      </c>
      <c r="D7" s="15">
        <f>14.66*12*380.8</f>
        <v>66990.33600000001</v>
      </c>
    </row>
    <row r="8" spans="1:4">
      <c r="A8" s="7">
        <v>3</v>
      </c>
      <c r="B8" s="9" t="s">
        <v>6</v>
      </c>
      <c r="C8" s="16" t="s">
        <v>228</v>
      </c>
      <c r="D8" s="15">
        <f>12*4.05*380.8</f>
        <v>18506.879999999997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12*380.8*2.29</f>
        <v>10464.384000000002</v>
      </c>
    </row>
    <row r="12" spans="1:4">
      <c r="A12" s="7">
        <v>14</v>
      </c>
      <c r="B12" s="10" t="s">
        <v>11</v>
      </c>
      <c r="C12" s="16" t="s">
        <v>228</v>
      </c>
      <c r="D12" s="15">
        <f>12*380.8*1.85</f>
        <v>8453.76</v>
      </c>
    </row>
    <row r="13" spans="1:4">
      <c r="A13" s="7">
        <v>15</v>
      </c>
      <c r="B13" s="10" t="s">
        <v>229</v>
      </c>
      <c r="C13" s="16" t="s">
        <v>228</v>
      </c>
      <c r="D13" s="15">
        <v>20000</v>
      </c>
    </row>
    <row r="14" spans="1:4">
      <c r="A14" s="7">
        <v>16</v>
      </c>
      <c r="B14" s="10" t="s">
        <v>13</v>
      </c>
      <c r="C14" s="16" t="s">
        <v>228</v>
      </c>
      <c r="D14" s="15">
        <f>12*380.8*2.28</f>
        <v>10418.688</v>
      </c>
    </row>
    <row r="15" spans="1:4">
      <c r="A15" s="7">
        <v>22</v>
      </c>
      <c r="B15" s="10" t="s">
        <v>239</v>
      </c>
      <c r="C15" s="16" t="s">
        <v>228</v>
      </c>
      <c r="D15" s="15">
        <f>12*380.8*0.37</f>
        <v>1690.7520000000002</v>
      </c>
    </row>
    <row r="16" spans="1:4">
      <c r="A16" s="7">
        <v>23</v>
      </c>
      <c r="B16" s="10" t="s">
        <v>16</v>
      </c>
      <c r="C16" s="16" t="s">
        <v>228</v>
      </c>
      <c r="D16" s="15">
        <f>12*380.8*1.68</f>
        <v>7676.9279999999999</v>
      </c>
    </row>
    <row r="17" spans="1:4">
      <c r="A17" s="7">
        <v>24</v>
      </c>
      <c r="B17" s="10" t="s">
        <v>17</v>
      </c>
      <c r="C17" s="16" t="s">
        <v>228</v>
      </c>
      <c r="D17" s="15">
        <f>12*380.8*2.28</f>
        <v>10418.688</v>
      </c>
    </row>
    <row r="18" spans="1:4">
      <c r="A18" s="7">
        <v>25</v>
      </c>
      <c r="B18" s="10" t="s">
        <v>18</v>
      </c>
      <c r="C18" s="16" t="s">
        <v>228</v>
      </c>
      <c r="D18" s="15">
        <f>12*380.8*1.19</f>
        <v>5437.8240000000005</v>
      </c>
    </row>
    <row r="19" spans="1:4">
      <c r="A19" s="7">
        <v>26</v>
      </c>
      <c r="B19" s="10" t="s">
        <v>19</v>
      </c>
      <c r="C19" s="16" t="s">
        <v>228</v>
      </c>
      <c r="D19" s="15">
        <f>12*380.8*2.66</f>
        <v>12155.136000000002</v>
      </c>
    </row>
    <row r="20" spans="1:4">
      <c r="A20" s="7"/>
      <c r="B20" s="10" t="s">
        <v>225</v>
      </c>
      <c r="C20" s="16" t="s">
        <v>228</v>
      </c>
      <c r="D20" s="15">
        <f>12*380.8*0.06</f>
        <v>274.17599999999999</v>
      </c>
    </row>
    <row r="21" spans="1:4">
      <c r="A21" s="7">
        <v>27</v>
      </c>
      <c r="B21" s="11" t="s">
        <v>20</v>
      </c>
      <c r="C21" s="16" t="s">
        <v>228</v>
      </c>
      <c r="D21" s="95">
        <f>D20+D19+D18+D17+D16+D15+D14+D13+D12+D11</f>
        <v>86990.33600000001</v>
      </c>
    </row>
    <row r="22" spans="1:4">
      <c r="A22" s="7">
        <v>28</v>
      </c>
      <c r="B22" s="8" t="s">
        <v>21</v>
      </c>
      <c r="C22" s="16" t="s">
        <v>228</v>
      </c>
      <c r="D22" s="14">
        <f>D7-D21</f>
        <v>-20000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35</v>
      </c>
      <c r="B25" s="9" t="s">
        <v>28</v>
      </c>
      <c r="C25" s="16" t="s">
        <v>228</v>
      </c>
      <c r="D25" s="15">
        <v>500</v>
      </c>
    </row>
    <row r="26" spans="1:4">
      <c r="A26" s="7">
        <v>40</v>
      </c>
      <c r="B26" s="9" t="s">
        <v>33</v>
      </c>
      <c r="C26" s="16" t="s">
        <v>228</v>
      </c>
      <c r="D26" s="15"/>
    </row>
    <row r="27" spans="1:4">
      <c r="A27" s="7">
        <v>41</v>
      </c>
      <c r="B27" s="9" t="s">
        <v>34</v>
      </c>
      <c r="C27" s="16" t="s">
        <v>228</v>
      </c>
      <c r="D27" s="15"/>
    </row>
    <row r="28" spans="1:4">
      <c r="A28" s="7">
        <v>43</v>
      </c>
      <c r="B28" s="9" t="s">
        <v>35</v>
      </c>
      <c r="C28" s="16" t="s">
        <v>228</v>
      </c>
      <c r="D28" s="15"/>
    </row>
    <row r="29" spans="1:4">
      <c r="A29" s="7">
        <v>44</v>
      </c>
      <c r="B29" s="9" t="s">
        <v>38</v>
      </c>
      <c r="C29" s="16" t="s">
        <v>228</v>
      </c>
      <c r="D29" s="15"/>
    </row>
    <row r="30" spans="1:4">
      <c r="A30" s="7">
        <v>63</v>
      </c>
      <c r="B30" s="9" t="s">
        <v>58</v>
      </c>
      <c r="C30" s="16" t="s">
        <v>228</v>
      </c>
      <c r="D30" s="15"/>
    </row>
    <row r="31" spans="1:4">
      <c r="A31" s="7">
        <v>68</v>
      </c>
      <c r="B31" s="9" t="s">
        <v>230</v>
      </c>
      <c r="C31" s="16" t="s">
        <v>228</v>
      </c>
      <c r="D31" s="15"/>
    </row>
    <row r="32" spans="1:4">
      <c r="A32" s="7">
        <v>77</v>
      </c>
      <c r="B32" s="9" t="s">
        <v>72</v>
      </c>
      <c r="C32" s="16" t="s">
        <v>228</v>
      </c>
      <c r="D32" s="15"/>
    </row>
    <row r="33" spans="1:4">
      <c r="A33" s="7">
        <v>80</v>
      </c>
      <c r="B33" s="9" t="s">
        <v>76</v>
      </c>
      <c r="C33" s="16" t="s">
        <v>228</v>
      </c>
      <c r="D33" s="15"/>
    </row>
    <row r="34" spans="1:4">
      <c r="A34" s="7">
        <v>83</v>
      </c>
      <c r="B34" s="9" t="s">
        <v>80</v>
      </c>
      <c r="C34" s="16" t="s">
        <v>228</v>
      </c>
      <c r="D34" s="15">
        <v>28000</v>
      </c>
    </row>
    <row r="35" spans="1:4">
      <c r="A35" s="7">
        <v>94</v>
      </c>
      <c r="B35" s="9" t="s">
        <v>92</v>
      </c>
      <c r="C35" s="16" t="s">
        <v>228</v>
      </c>
      <c r="D35" s="15"/>
    </row>
    <row r="36" spans="1:4">
      <c r="A36" s="7">
        <v>98</v>
      </c>
      <c r="B36" s="11" t="s">
        <v>20</v>
      </c>
      <c r="C36" s="16" t="s">
        <v>228</v>
      </c>
      <c r="D36" s="14">
        <f>D35+D34+D33+D32+D31+D30+D29+D28+D27+D26+D25</f>
        <v>28500</v>
      </c>
    </row>
    <row r="37" spans="1:4">
      <c r="A37" s="7">
        <v>103</v>
      </c>
      <c r="B37" s="8" t="s">
        <v>21</v>
      </c>
      <c r="C37" s="16" t="s">
        <v>228</v>
      </c>
      <c r="D37" s="14">
        <f>D8-D36</f>
        <v>-9993.1200000000026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topLeftCell="A10" workbookViewId="0">
      <selection activeCell="H40" sqref="H40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84262.356000000014</v>
      </c>
    </row>
    <row r="7" spans="1:4">
      <c r="A7" s="7">
        <v>2</v>
      </c>
      <c r="B7" s="9" t="s">
        <v>5</v>
      </c>
      <c r="C7" s="16" t="s">
        <v>228</v>
      </c>
      <c r="D7" s="15">
        <f>14.66*12*375.3</f>
        <v>66022.776000000013</v>
      </c>
    </row>
    <row r="8" spans="1:4">
      <c r="A8" s="7">
        <v>3</v>
      </c>
      <c r="B8" s="9" t="s">
        <v>6</v>
      </c>
      <c r="C8" s="16" t="s">
        <v>228</v>
      </c>
      <c r="D8" s="15">
        <f>12*4.05*375.3</f>
        <v>18239.579999999998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12*375.3*2.29</f>
        <v>10313.244000000001</v>
      </c>
    </row>
    <row r="12" spans="1:4">
      <c r="A12" s="7">
        <v>14</v>
      </c>
      <c r="B12" s="10" t="s">
        <v>11</v>
      </c>
      <c r="C12" s="16" t="s">
        <v>228</v>
      </c>
      <c r="D12" s="15">
        <f>12*375.3*1.85</f>
        <v>8331.6600000000017</v>
      </c>
    </row>
    <row r="13" spans="1:4">
      <c r="A13" s="7">
        <v>15</v>
      </c>
      <c r="B13" s="10" t="s">
        <v>229</v>
      </c>
      <c r="C13" s="16" t="s">
        <v>228</v>
      </c>
      <c r="D13" s="15">
        <v>20000</v>
      </c>
    </row>
    <row r="14" spans="1:4">
      <c r="A14" s="7">
        <v>16</v>
      </c>
      <c r="B14" s="10" t="s">
        <v>13</v>
      </c>
      <c r="C14" s="16" t="s">
        <v>228</v>
      </c>
      <c r="D14" s="15">
        <f>12*375.7*2.28</f>
        <v>10279.151999999998</v>
      </c>
    </row>
    <row r="15" spans="1:4">
      <c r="A15" s="7">
        <v>22</v>
      </c>
      <c r="B15" s="10" t="s">
        <v>239</v>
      </c>
      <c r="C15" s="16" t="s">
        <v>228</v>
      </c>
      <c r="D15" s="15">
        <f>12*375.7*0.37</f>
        <v>1668.1079999999999</v>
      </c>
    </row>
    <row r="16" spans="1:4">
      <c r="A16" s="7">
        <v>23</v>
      </c>
      <c r="B16" s="10" t="s">
        <v>16</v>
      </c>
      <c r="C16" s="16" t="s">
        <v>228</v>
      </c>
      <c r="D16" s="15">
        <f>12*375.7*1.68</f>
        <v>7574.1119999999992</v>
      </c>
    </row>
    <row r="17" spans="1:4">
      <c r="A17" s="7">
        <v>24</v>
      </c>
      <c r="B17" s="10" t="s">
        <v>17</v>
      </c>
      <c r="C17" s="16" t="s">
        <v>228</v>
      </c>
      <c r="D17" s="15">
        <f>12*375.7*2.28</f>
        <v>10279.151999999998</v>
      </c>
    </row>
    <row r="18" spans="1:4">
      <c r="A18" s="7">
        <v>25</v>
      </c>
      <c r="B18" s="10" t="s">
        <v>18</v>
      </c>
      <c r="C18" s="16" t="s">
        <v>228</v>
      </c>
      <c r="D18" s="15">
        <f>12*375.7*1.19</f>
        <v>5364.9959999999992</v>
      </c>
    </row>
    <row r="19" spans="1:4">
      <c r="A19" s="7">
        <v>26</v>
      </c>
      <c r="B19" s="10" t="s">
        <v>19</v>
      </c>
      <c r="C19" s="16" t="s">
        <v>228</v>
      </c>
      <c r="D19" s="15">
        <f>12*375.7*2.66</f>
        <v>11992.343999999999</v>
      </c>
    </row>
    <row r="20" spans="1:4">
      <c r="A20" s="7"/>
      <c r="B20" s="10" t="s">
        <v>225</v>
      </c>
      <c r="C20" s="16" t="s">
        <v>228</v>
      </c>
      <c r="D20" s="15">
        <f>12*375.7*0.06</f>
        <v>270.50399999999996</v>
      </c>
    </row>
    <row r="21" spans="1:4">
      <c r="A21" s="7">
        <v>27</v>
      </c>
      <c r="B21" s="11" t="s">
        <v>20</v>
      </c>
      <c r="C21" s="16" t="s">
        <v>228</v>
      </c>
      <c r="D21" s="95">
        <f>D20+D19+D18+D17+D16+D15+D14+D13+D12+D11</f>
        <v>86073.271999999997</v>
      </c>
    </row>
    <row r="22" spans="1:4">
      <c r="A22" s="7">
        <v>28</v>
      </c>
      <c r="B22" s="8" t="s">
        <v>21</v>
      </c>
      <c r="C22" s="16" t="s">
        <v>228</v>
      </c>
      <c r="D22" s="14">
        <f>D7-D21</f>
        <v>-20050.495999999985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15"/>
    </row>
    <row r="26" spans="1:4">
      <c r="A26" s="7">
        <v>35</v>
      </c>
      <c r="B26" s="9" t="s">
        <v>28</v>
      </c>
      <c r="C26" s="16" t="s">
        <v>228</v>
      </c>
      <c r="D26" s="15">
        <v>300</v>
      </c>
    </row>
    <row r="27" spans="1:4" ht="24">
      <c r="A27" s="7">
        <v>64</v>
      </c>
      <c r="B27" s="12" t="s">
        <v>59</v>
      </c>
      <c r="C27" s="16" t="s">
        <v>228</v>
      </c>
      <c r="D27" s="15"/>
    </row>
    <row r="28" spans="1:4">
      <c r="A28" s="7">
        <v>68</v>
      </c>
      <c r="B28" s="9" t="s">
        <v>63</v>
      </c>
      <c r="C28" s="16" t="s">
        <v>228</v>
      </c>
      <c r="D28" s="15"/>
    </row>
    <row r="29" spans="1:4">
      <c r="A29" s="7">
        <v>77</v>
      </c>
      <c r="B29" s="9" t="s">
        <v>72</v>
      </c>
      <c r="C29" s="16" t="s">
        <v>228</v>
      </c>
      <c r="D29" s="15"/>
    </row>
    <row r="30" spans="1:4">
      <c r="A30" s="7">
        <v>83</v>
      </c>
      <c r="B30" s="9" t="s">
        <v>80</v>
      </c>
      <c r="C30" s="16" t="s">
        <v>228</v>
      </c>
      <c r="D30" s="15">
        <v>28000</v>
      </c>
    </row>
    <row r="31" spans="1:4">
      <c r="A31" s="7">
        <v>94</v>
      </c>
      <c r="B31" s="9" t="s">
        <v>92</v>
      </c>
      <c r="C31" s="16" t="s">
        <v>228</v>
      </c>
      <c r="D31" s="15"/>
    </row>
    <row r="32" spans="1:4">
      <c r="A32" s="7">
        <v>98</v>
      </c>
      <c r="B32" s="11" t="s">
        <v>20</v>
      </c>
      <c r="C32" s="16" t="s">
        <v>228</v>
      </c>
      <c r="D32" s="14">
        <f>D31+D30+D29+D28+D27+D26+D25</f>
        <v>28300</v>
      </c>
    </row>
    <row r="33" spans="1:4">
      <c r="A33" s="7">
        <v>103</v>
      </c>
      <c r="B33" s="8" t="s">
        <v>21</v>
      </c>
      <c r="C33" s="16" t="s">
        <v>228</v>
      </c>
      <c r="D33" s="14">
        <f>D8-D32</f>
        <v>-10060.420000000002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topLeftCell="A7" workbookViewId="0">
      <selection activeCell="F35" sqref="F35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84823.656000000003</v>
      </c>
    </row>
    <row r="7" spans="1:4">
      <c r="A7" s="7">
        <v>2</v>
      </c>
      <c r="B7" s="9" t="s">
        <v>5</v>
      </c>
      <c r="C7" s="16" t="s">
        <v>228</v>
      </c>
      <c r="D7" s="15">
        <f>14.66*12*377.8</f>
        <v>66462.576000000001</v>
      </c>
    </row>
    <row r="8" spans="1:4">
      <c r="A8" s="7">
        <v>3</v>
      </c>
      <c r="B8" s="9" t="s">
        <v>6</v>
      </c>
      <c r="C8" s="16" t="s">
        <v>228</v>
      </c>
      <c r="D8" s="15">
        <f>12*4.05*377.8</f>
        <v>18361.079999999998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12*377.8*2.29</f>
        <v>10381.944000000001</v>
      </c>
    </row>
    <row r="12" spans="1:4">
      <c r="A12" s="7">
        <v>14</v>
      </c>
      <c r="B12" s="10" t="s">
        <v>11</v>
      </c>
      <c r="C12" s="16" t="s">
        <v>228</v>
      </c>
      <c r="D12" s="15">
        <f>12*377.8*1.85</f>
        <v>8387.1600000000017</v>
      </c>
    </row>
    <row r="13" spans="1:4">
      <c r="A13" s="7">
        <v>15</v>
      </c>
      <c r="B13" s="10" t="s">
        <v>229</v>
      </c>
      <c r="C13" s="16" t="s">
        <v>228</v>
      </c>
      <c r="D13" s="15">
        <v>20000</v>
      </c>
    </row>
    <row r="14" spans="1:4">
      <c r="A14" s="7">
        <v>16</v>
      </c>
      <c r="B14" s="10" t="s">
        <v>13</v>
      </c>
      <c r="C14" s="16" t="s">
        <v>228</v>
      </c>
      <c r="D14" s="15">
        <f>12*377.8*2.28</f>
        <v>10336.608</v>
      </c>
    </row>
    <row r="15" spans="1:4">
      <c r="A15" s="7">
        <v>22</v>
      </c>
      <c r="B15" s="10" t="s">
        <v>239</v>
      </c>
      <c r="C15" s="16" t="s">
        <v>228</v>
      </c>
      <c r="D15" s="15">
        <f>12*377.8*0.37</f>
        <v>1677.432</v>
      </c>
    </row>
    <row r="16" spans="1:4">
      <c r="A16" s="7">
        <v>23</v>
      </c>
      <c r="B16" s="10" t="s">
        <v>16</v>
      </c>
      <c r="C16" s="16" t="s">
        <v>228</v>
      </c>
      <c r="D16" s="15">
        <f>12*377.8*1.68</f>
        <v>7616.4480000000003</v>
      </c>
    </row>
    <row r="17" spans="1:4">
      <c r="A17" s="7">
        <v>24</v>
      </c>
      <c r="B17" s="10" t="s">
        <v>17</v>
      </c>
      <c r="C17" s="16" t="s">
        <v>228</v>
      </c>
      <c r="D17" s="15">
        <f>12*377.8*2.28</f>
        <v>10336.608</v>
      </c>
    </row>
    <row r="18" spans="1:4">
      <c r="A18" s="7">
        <v>25</v>
      </c>
      <c r="B18" s="10" t="s">
        <v>18</v>
      </c>
      <c r="C18" s="16" t="s">
        <v>228</v>
      </c>
      <c r="D18" s="15">
        <f>12*377.8*1.19</f>
        <v>5394.9840000000004</v>
      </c>
    </row>
    <row r="19" spans="1:4">
      <c r="A19" s="7">
        <v>26</v>
      </c>
      <c r="B19" s="10" t="s">
        <v>19</v>
      </c>
      <c r="C19" s="16" t="s">
        <v>228</v>
      </c>
      <c r="D19" s="15">
        <f>12*377.8*2.66</f>
        <v>12059.376000000002</v>
      </c>
    </row>
    <row r="20" spans="1:4">
      <c r="A20" s="7"/>
      <c r="B20" s="10" t="s">
        <v>225</v>
      </c>
      <c r="C20" s="16" t="s">
        <v>228</v>
      </c>
      <c r="D20" s="15">
        <f>12*377.8*0.06</f>
        <v>272.01600000000002</v>
      </c>
    </row>
    <row r="21" spans="1:4">
      <c r="A21" s="7">
        <v>27</v>
      </c>
      <c r="B21" s="11" t="s">
        <v>20</v>
      </c>
      <c r="C21" s="16" t="s">
        <v>228</v>
      </c>
      <c r="D21" s="95">
        <f>D20+D19+D18+D17+D16+D15+D14+D13+D12+D11</f>
        <v>86462.576000000015</v>
      </c>
    </row>
    <row r="22" spans="1:4">
      <c r="A22" s="7">
        <v>28</v>
      </c>
      <c r="B22" s="8" t="s">
        <v>21</v>
      </c>
      <c r="C22" s="16" t="s">
        <v>228</v>
      </c>
      <c r="D22" s="14">
        <f>D7-D21</f>
        <v>-20000.000000000015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15"/>
    </row>
    <row r="26" spans="1:4">
      <c r="A26" s="7">
        <v>33</v>
      </c>
      <c r="B26" s="9" t="s">
        <v>26</v>
      </c>
      <c r="C26" s="16" t="s">
        <v>228</v>
      </c>
      <c r="D26" s="15"/>
    </row>
    <row r="27" spans="1:4">
      <c r="A27" s="7">
        <v>35</v>
      </c>
      <c r="B27" s="9" t="s">
        <v>28</v>
      </c>
      <c r="C27" s="16" t="s">
        <v>228</v>
      </c>
      <c r="D27" s="15">
        <v>500</v>
      </c>
    </row>
    <row r="28" spans="1:4">
      <c r="A28" s="7">
        <v>42</v>
      </c>
      <c r="B28" s="9" t="s">
        <v>35</v>
      </c>
      <c r="C28" s="16" t="s">
        <v>228</v>
      </c>
      <c r="D28" s="15"/>
    </row>
    <row r="29" spans="1:4" ht="24">
      <c r="A29" s="7">
        <v>64</v>
      </c>
      <c r="B29" s="12" t="s">
        <v>59</v>
      </c>
      <c r="C29" s="16" t="s">
        <v>228</v>
      </c>
      <c r="D29" s="15"/>
    </row>
    <row r="30" spans="1:4">
      <c r="A30" s="7">
        <v>68</v>
      </c>
      <c r="B30" s="9" t="s">
        <v>63</v>
      </c>
      <c r="C30" s="16" t="s">
        <v>228</v>
      </c>
      <c r="D30" s="15"/>
    </row>
    <row r="31" spans="1:4">
      <c r="A31" s="7">
        <v>75</v>
      </c>
      <c r="B31" s="9" t="s">
        <v>70</v>
      </c>
      <c r="C31" s="16" t="s">
        <v>228</v>
      </c>
      <c r="D31" s="15"/>
    </row>
    <row r="32" spans="1:4">
      <c r="A32" s="7">
        <v>77</v>
      </c>
      <c r="B32" s="9" t="s">
        <v>72</v>
      </c>
      <c r="C32" s="16" t="s">
        <v>228</v>
      </c>
      <c r="D32" s="15"/>
    </row>
    <row r="33" spans="1:4">
      <c r="A33" s="7">
        <v>83</v>
      </c>
      <c r="B33" s="9" t="s">
        <v>80</v>
      </c>
      <c r="C33" s="16" t="s">
        <v>228</v>
      </c>
      <c r="D33" s="15">
        <v>28000</v>
      </c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</f>
        <v>28500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-10138.920000000002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topLeftCell="A13" workbookViewId="0">
      <selection activeCell="E25" sqref="E25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189292.81200000001</v>
      </c>
    </row>
    <row r="7" spans="1:4">
      <c r="A7" s="7">
        <v>2</v>
      </c>
      <c r="B7" s="9" t="s">
        <v>5</v>
      </c>
      <c r="C7" s="16" t="s">
        <v>228</v>
      </c>
      <c r="D7" s="15">
        <f>14.66*843.1*12</f>
        <v>148318.152</v>
      </c>
    </row>
    <row r="8" spans="1:4">
      <c r="A8" s="7">
        <v>3</v>
      </c>
      <c r="B8" s="9" t="s">
        <v>6</v>
      </c>
      <c r="C8" s="16" t="s">
        <v>228</v>
      </c>
      <c r="D8" s="15">
        <f>4.05*843.1*12</f>
        <v>40974.659999999996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12*843.1*2.29</f>
        <v>23168.388000000003</v>
      </c>
    </row>
    <row r="12" spans="1:4">
      <c r="A12" s="7">
        <v>14</v>
      </c>
      <c r="B12" s="10" t="s">
        <v>11</v>
      </c>
      <c r="C12" s="16" t="s">
        <v>228</v>
      </c>
      <c r="D12" s="15">
        <f>12*843.1*1.85</f>
        <v>18716.820000000003</v>
      </c>
    </row>
    <row r="13" spans="1:4">
      <c r="A13" s="7">
        <v>15</v>
      </c>
      <c r="B13" s="10" t="s">
        <v>229</v>
      </c>
      <c r="C13" s="16" t="s">
        <v>228</v>
      </c>
      <c r="D13" s="15">
        <v>25000</v>
      </c>
    </row>
    <row r="14" spans="1:4">
      <c r="A14" s="7">
        <v>16</v>
      </c>
      <c r="B14" s="10" t="s">
        <v>13</v>
      </c>
      <c r="C14" s="16" t="s">
        <v>228</v>
      </c>
      <c r="D14" s="15">
        <f>12*843.1*2.28</f>
        <v>23067.216</v>
      </c>
    </row>
    <row r="15" spans="1:4">
      <c r="A15" s="7">
        <v>22</v>
      </c>
      <c r="B15" s="10" t="s">
        <v>16</v>
      </c>
      <c r="C15" s="16" t="s">
        <v>228</v>
      </c>
      <c r="D15" s="15">
        <f>12*843.1*1.68</f>
        <v>16996.896000000001</v>
      </c>
    </row>
    <row r="16" spans="1:4">
      <c r="A16" s="7">
        <v>23</v>
      </c>
      <c r="B16" s="10" t="s">
        <v>17</v>
      </c>
      <c r="C16" s="16" t="s">
        <v>228</v>
      </c>
      <c r="D16" s="15">
        <f>12*843.1*2.28</f>
        <v>23067.216</v>
      </c>
    </row>
    <row r="17" spans="1:4">
      <c r="A17" s="7">
        <v>24</v>
      </c>
      <c r="B17" s="10" t="s">
        <v>18</v>
      </c>
      <c r="C17" s="16" t="s">
        <v>228</v>
      </c>
      <c r="D17" s="15">
        <f>12*843.1*1.19</f>
        <v>12039.468000000001</v>
      </c>
    </row>
    <row r="18" spans="1:4">
      <c r="A18" s="7">
        <v>25</v>
      </c>
      <c r="B18" s="10" t="s">
        <v>19</v>
      </c>
      <c r="C18" s="16" t="s">
        <v>228</v>
      </c>
      <c r="D18" s="15">
        <f>12*843.1*2.66</f>
        <v>26911.752000000004</v>
      </c>
    </row>
    <row r="19" spans="1:4">
      <c r="A19" s="7">
        <v>26</v>
      </c>
      <c r="B19" s="10" t="s">
        <v>225</v>
      </c>
      <c r="C19" s="16" t="s">
        <v>228</v>
      </c>
      <c r="D19" s="15">
        <f>12*843.1*0.06</f>
        <v>607.03200000000004</v>
      </c>
    </row>
    <row r="20" spans="1:4">
      <c r="A20" s="7"/>
      <c r="B20" s="10" t="s">
        <v>239</v>
      </c>
      <c r="C20" s="16" t="s">
        <v>228</v>
      </c>
      <c r="D20" s="15">
        <f>12*843.1*0.37</f>
        <v>3743.364</v>
      </c>
    </row>
    <row r="21" spans="1:4">
      <c r="A21" s="7">
        <v>27</v>
      </c>
      <c r="B21" s="11" t="s">
        <v>20</v>
      </c>
      <c r="C21" s="16" t="s">
        <v>228</v>
      </c>
      <c r="D21" s="14">
        <f>D19+D18+D17+D16+D15+D14+D13+D12+D11+D20</f>
        <v>173318.152</v>
      </c>
    </row>
    <row r="22" spans="1:4">
      <c r="A22" s="7">
        <v>28</v>
      </c>
      <c r="B22" s="8" t="s">
        <v>21</v>
      </c>
      <c r="C22" s="16" t="s">
        <v>228</v>
      </c>
      <c r="D22" s="14">
        <f>D7-D21</f>
        <v>-25000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33</v>
      </c>
      <c r="B25" s="9" t="s">
        <v>26</v>
      </c>
      <c r="C25" s="16" t="s">
        <v>228</v>
      </c>
      <c r="D25" s="84"/>
    </row>
    <row r="26" spans="1:4">
      <c r="A26" s="7">
        <v>35</v>
      </c>
      <c r="B26" s="9" t="s">
        <v>28</v>
      </c>
      <c r="C26" s="16" t="s">
        <v>228</v>
      </c>
      <c r="D26" s="84"/>
    </row>
    <row r="27" spans="1:4">
      <c r="A27" s="7">
        <v>42</v>
      </c>
      <c r="B27" s="9" t="s">
        <v>35</v>
      </c>
      <c r="C27" s="16" t="s">
        <v>228</v>
      </c>
      <c r="D27" s="84"/>
    </row>
    <row r="28" spans="1:4">
      <c r="A28" s="7">
        <v>44</v>
      </c>
      <c r="B28" s="9" t="s">
        <v>38</v>
      </c>
      <c r="C28" s="16" t="s">
        <v>228</v>
      </c>
      <c r="D28" s="84"/>
    </row>
    <row r="29" spans="1:4" ht="24">
      <c r="A29" s="7">
        <v>64</v>
      </c>
      <c r="B29" s="12" t="s">
        <v>59</v>
      </c>
      <c r="C29" s="16" t="s">
        <v>228</v>
      </c>
      <c r="D29" s="84"/>
    </row>
    <row r="30" spans="1:4">
      <c r="A30" s="7">
        <v>68</v>
      </c>
      <c r="B30" s="9" t="s">
        <v>63</v>
      </c>
      <c r="C30" s="16" t="s">
        <v>228</v>
      </c>
      <c r="D30" s="84"/>
    </row>
    <row r="31" spans="1:4">
      <c r="A31" s="7">
        <v>75</v>
      </c>
      <c r="B31" s="9" t="s">
        <v>70</v>
      </c>
      <c r="C31" s="16" t="s">
        <v>228</v>
      </c>
      <c r="D31" s="84"/>
    </row>
    <row r="32" spans="1:4">
      <c r="A32" s="7">
        <v>83</v>
      </c>
      <c r="B32" s="9" t="s">
        <v>80</v>
      </c>
      <c r="C32" s="16" t="s">
        <v>228</v>
      </c>
      <c r="D32" s="93">
        <v>28000</v>
      </c>
    </row>
    <row r="33" spans="1:4">
      <c r="A33" s="7">
        <v>97</v>
      </c>
      <c r="B33" s="9" t="s">
        <v>233</v>
      </c>
      <c r="C33" s="16" t="s">
        <v>228</v>
      </c>
      <c r="D33" s="93"/>
    </row>
    <row r="34" spans="1:4">
      <c r="A34" s="7">
        <v>98</v>
      </c>
      <c r="B34" s="11" t="s">
        <v>20</v>
      </c>
      <c r="C34" s="16" t="s">
        <v>228</v>
      </c>
      <c r="D34" s="14">
        <f>D33++D32+D31+D30+D29+D28+D27+D26+D25</f>
        <v>28000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12974.659999999996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workbookViewId="0">
      <selection activeCell="B25" sqref="B25:D25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1"/>
      <c r="B3" s="100"/>
      <c r="C3" s="100"/>
      <c r="D3" s="100"/>
    </row>
    <row r="4" spans="1:4">
      <c r="A4" s="1"/>
      <c r="B4" s="1"/>
      <c r="C4" s="1"/>
      <c r="D4" s="1"/>
    </row>
    <row r="5" spans="1:4">
      <c r="A5" s="5"/>
      <c r="B5" s="101"/>
      <c r="C5" s="101"/>
      <c r="D5" s="101"/>
    </row>
    <row r="6" spans="1:4">
      <c r="A6" s="2"/>
      <c r="B6" s="2"/>
      <c r="C6" s="2"/>
      <c r="D6" s="13"/>
    </row>
    <row r="7" spans="1:4">
      <c r="A7" s="6" t="s">
        <v>0</v>
      </c>
      <c r="B7" s="6" t="s">
        <v>1</v>
      </c>
      <c r="C7" s="6" t="s">
        <v>2</v>
      </c>
      <c r="D7" s="6" t="s">
        <v>3</v>
      </c>
    </row>
    <row r="8" spans="1:4">
      <c r="A8" s="7">
        <v>1</v>
      </c>
      <c r="B8" s="8" t="s">
        <v>242</v>
      </c>
      <c r="C8" s="16" t="s">
        <v>228</v>
      </c>
      <c r="D8" s="14">
        <f>D9+D10</f>
        <v>180738.59999999998</v>
      </c>
    </row>
    <row r="9" spans="1:4">
      <c r="A9" s="7">
        <v>2</v>
      </c>
      <c r="B9" s="9" t="s">
        <v>5</v>
      </c>
      <c r="C9" s="16" t="s">
        <v>228</v>
      </c>
      <c r="D9" s="15">
        <f>805*14.66*12</f>
        <v>141615.59999999998</v>
      </c>
    </row>
    <row r="10" spans="1:4">
      <c r="A10" s="7">
        <v>3</v>
      </c>
      <c r="B10" s="9" t="s">
        <v>6</v>
      </c>
      <c r="C10" s="16" t="s">
        <v>228</v>
      </c>
      <c r="D10" s="15">
        <f>4.05*805*12</f>
        <v>39123</v>
      </c>
    </row>
    <row r="11" spans="1:4">
      <c r="A11" s="7">
        <v>10</v>
      </c>
      <c r="B11" s="7"/>
      <c r="C11" s="7"/>
      <c r="D11" s="16"/>
    </row>
    <row r="12" spans="1:4">
      <c r="A12" s="7">
        <v>11</v>
      </c>
      <c r="B12" s="97" t="s">
        <v>9</v>
      </c>
      <c r="C12" s="98"/>
      <c r="D12" s="99"/>
    </row>
    <row r="13" spans="1:4">
      <c r="A13" s="7"/>
      <c r="B13" s="10" t="s">
        <v>10</v>
      </c>
      <c r="C13" s="16" t="s">
        <v>228</v>
      </c>
      <c r="D13" s="15">
        <f>12*805*2.29</f>
        <v>22121.4</v>
      </c>
    </row>
    <row r="14" spans="1:4">
      <c r="A14" s="7"/>
      <c r="B14" s="10" t="s">
        <v>11</v>
      </c>
      <c r="C14" s="16" t="s">
        <v>228</v>
      </c>
      <c r="D14" s="15">
        <f>12*805*1.85</f>
        <v>17871</v>
      </c>
    </row>
    <row r="15" spans="1:4">
      <c r="A15" s="7"/>
      <c r="B15" s="10" t="s">
        <v>229</v>
      </c>
      <c r="C15" s="16" t="s">
        <v>228</v>
      </c>
      <c r="D15" s="15">
        <v>25000</v>
      </c>
    </row>
    <row r="16" spans="1:4">
      <c r="A16" s="7"/>
      <c r="B16" s="10" t="s">
        <v>13</v>
      </c>
      <c r="C16" s="16" t="s">
        <v>228</v>
      </c>
      <c r="D16" s="15">
        <f>12*805*2.28</f>
        <v>22024.799999999999</v>
      </c>
    </row>
    <row r="17" spans="1:4">
      <c r="A17" s="7"/>
      <c r="B17" s="10" t="s">
        <v>16</v>
      </c>
      <c r="C17" s="16" t="s">
        <v>228</v>
      </c>
      <c r="D17" s="15">
        <f>12*805*1.68</f>
        <v>16228.8</v>
      </c>
    </row>
    <row r="18" spans="1:4">
      <c r="A18" s="7"/>
      <c r="B18" s="10" t="s">
        <v>17</v>
      </c>
      <c r="C18" s="16" t="s">
        <v>228</v>
      </c>
      <c r="D18" s="15">
        <f>12*805*2.28</f>
        <v>22024.799999999999</v>
      </c>
    </row>
    <row r="19" spans="1:4">
      <c r="A19" s="7"/>
      <c r="B19" s="10" t="s">
        <v>18</v>
      </c>
      <c r="C19" s="16" t="s">
        <v>228</v>
      </c>
      <c r="D19" s="15">
        <f>12*805*1.19</f>
        <v>11495.4</v>
      </c>
    </row>
    <row r="20" spans="1:4">
      <c r="A20" s="7"/>
      <c r="B20" s="10" t="s">
        <v>19</v>
      </c>
      <c r="C20" s="16" t="s">
        <v>228</v>
      </c>
      <c r="D20" s="15">
        <f>12*805*2.66</f>
        <v>25695.600000000002</v>
      </c>
    </row>
    <row r="21" spans="1:4">
      <c r="A21" s="7"/>
      <c r="B21" s="10" t="s">
        <v>225</v>
      </c>
      <c r="C21" s="16" t="s">
        <v>228</v>
      </c>
      <c r="D21" s="15">
        <f>12*805*0.06</f>
        <v>579.6</v>
      </c>
    </row>
    <row r="22" spans="1:4">
      <c r="A22" s="7"/>
      <c r="B22" s="10" t="s">
        <v>239</v>
      </c>
      <c r="C22" s="16" t="s">
        <v>228</v>
      </c>
      <c r="D22" s="15">
        <f>12*805*0.37</f>
        <v>3574.2</v>
      </c>
    </row>
    <row r="23" spans="1:4">
      <c r="A23" s="7"/>
      <c r="B23" s="11" t="s">
        <v>20</v>
      </c>
      <c r="C23" s="16" t="s">
        <v>228</v>
      </c>
      <c r="D23" s="14">
        <f>D21+D20+D19+D18+D17+D16+D15+D14+D13+D22</f>
        <v>166615.6</v>
      </c>
    </row>
    <row r="24" spans="1:4">
      <c r="A24" s="7"/>
      <c r="B24" s="8" t="s">
        <v>21</v>
      </c>
      <c r="C24" s="16" t="s">
        <v>228</v>
      </c>
      <c r="D24" s="14">
        <f>D9-D23</f>
        <v>-25000.000000000029</v>
      </c>
    </row>
    <row r="25" spans="1:4">
      <c r="A25" s="7"/>
      <c r="B25" s="97" t="s">
        <v>22</v>
      </c>
      <c r="C25" s="98"/>
      <c r="D25" s="99"/>
    </row>
    <row r="26" spans="1:4">
      <c r="A26" s="7"/>
      <c r="B26" s="8" t="s">
        <v>23</v>
      </c>
      <c r="C26" s="16"/>
      <c r="D26" s="14"/>
    </row>
    <row r="27" spans="1:4">
      <c r="A27" s="7"/>
      <c r="B27" s="9" t="s">
        <v>24</v>
      </c>
      <c r="C27" s="16" t="s">
        <v>228</v>
      </c>
      <c r="D27" s="93">
        <v>280</v>
      </c>
    </row>
    <row r="28" spans="1:4">
      <c r="A28" s="7"/>
      <c r="B28" s="9" t="s">
        <v>26</v>
      </c>
      <c r="C28" s="16" t="s">
        <v>228</v>
      </c>
      <c r="D28" s="93">
        <v>320</v>
      </c>
    </row>
    <row r="29" spans="1:4">
      <c r="A29" s="7"/>
      <c r="B29" s="9" t="s">
        <v>28</v>
      </c>
      <c r="C29" s="16" t="s">
        <v>228</v>
      </c>
      <c r="D29" s="93"/>
    </row>
    <row r="30" spans="1:4">
      <c r="A30" s="7"/>
      <c r="B30" s="9" t="s">
        <v>80</v>
      </c>
      <c r="C30" s="16" t="s">
        <v>228</v>
      </c>
      <c r="D30" s="93"/>
    </row>
    <row r="31" spans="1:4">
      <c r="A31" s="7"/>
      <c r="B31" s="9" t="s">
        <v>92</v>
      </c>
      <c r="C31" s="16" t="s">
        <v>228</v>
      </c>
      <c r="D31" s="93"/>
    </row>
    <row r="32" spans="1:4">
      <c r="A32" s="7">
        <v>98</v>
      </c>
      <c r="B32" s="11" t="s">
        <v>20</v>
      </c>
      <c r="C32" s="16" t="s">
        <v>228</v>
      </c>
      <c r="D32" s="14">
        <f>D31+D30+D29+D28+D27</f>
        <v>600</v>
      </c>
    </row>
    <row r="33" spans="1:4">
      <c r="A33" s="7">
        <v>103</v>
      </c>
      <c r="B33" s="8" t="s">
        <v>21</v>
      </c>
      <c r="C33" s="16" t="s">
        <v>228</v>
      </c>
      <c r="D33" s="14">
        <f>D10-D32</f>
        <v>38523</v>
      </c>
    </row>
  </sheetData>
  <mergeCells count="5">
    <mergeCell ref="A2:D2"/>
    <mergeCell ref="B3:D3"/>
    <mergeCell ref="B5:D5"/>
    <mergeCell ref="B12:D12"/>
    <mergeCell ref="B25:D25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  <ignoredErrors>
    <ignoredError sqref="D1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workbookViewId="0">
      <selection activeCell="G22" sqref="G22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194075.08800000002</v>
      </c>
    </row>
    <row r="7" spans="1:4">
      <c r="A7" s="7">
        <v>2</v>
      </c>
      <c r="B7" s="9" t="s">
        <v>5</v>
      </c>
      <c r="C7" s="16" t="s">
        <v>228</v>
      </c>
      <c r="D7" s="15">
        <f>12*14.66*864.4</f>
        <v>152065.24800000002</v>
      </c>
    </row>
    <row r="8" spans="1:4">
      <c r="A8" s="7">
        <v>3</v>
      </c>
      <c r="B8" s="9" t="s">
        <v>6</v>
      </c>
      <c r="C8" s="16" t="s">
        <v>228</v>
      </c>
      <c r="D8" s="15">
        <f>864.4*12*4.05</f>
        <v>42009.84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864.4*12*2.29</f>
        <v>23753.712</v>
      </c>
    </row>
    <row r="12" spans="1:4">
      <c r="A12" s="7">
        <v>14</v>
      </c>
      <c r="B12" s="10" t="s">
        <v>11</v>
      </c>
      <c r="C12" s="16" t="s">
        <v>228</v>
      </c>
      <c r="D12" s="15">
        <f>864.4*12*1.85</f>
        <v>19189.68</v>
      </c>
    </row>
    <row r="13" spans="1:4">
      <c r="A13" s="7">
        <v>15</v>
      </c>
      <c r="B13" s="10" t="s">
        <v>229</v>
      </c>
      <c r="C13" s="16" t="s">
        <v>228</v>
      </c>
      <c r="D13" s="15">
        <v>25000</v>
      </c>
    </row>
    <row r="14" spans="1:4">
      <c r="A14" s="7">
        <v>16</v>
      </c>
      <c r="B14" s="10" t="s">
        <v>13</v>
      </c>
      <c r="C14" s="16" t="s">
        <v>228</v>
      </c>
      <c r="D14" s="15">
        <f>864.4*12*2.28</f>
        <v>23649.983999999997</v>
      </c>
    </row>
    <row r="15" spans="1:4">
      <c r="A15" s="7">
        <v>22</v>
      </c>
      <c r="B15" s="10" t="s">
        <v>16</v>
      </c>
      <c r="C15" s="16" t="s">
        <v>228</v>
      </c>
      <c r="D15" s="15">
        <f>12*864.4*1.68</f>
        <v>17426.303999999996</v>
      </c>
    </row>
    <row r="16" spans="1:4">
      <c r="A16" s="7">
        <v>23</v>
      </c>
      <c r="B16" s="10" t="s">
        <v>17</v>
      </c>
      <c r="C16" s="16" t="s">
        <v>228</v>
      </c>
      <c r="D16" s="15">
        <f>12*864.4*2.28</f>
        <v>23649.983999999997</v>
      </c>
    </row>
    <row r="17" spans="1:4">
      <c r="A17" s="7">
        <v>24</v>
      </c>
      <c r="B17" s="10" t="s">
        <v>18</v>
      </c>
      <c r="C17" s="16" t="s">
        <v>228</v>
      </c>
      <c r="D17" s="15">
        <f>12*864.4*1.19</f>
        <v>12343.631999999998</v>
      </c>
    </row>
    <row r="18" spans="1:4">
      <c r="A18" s="7">
        <v>25</v>
      </c>
      <c r="B18" s="10" t="s">
        <v>19</v>
      </c>
      <c r="C18" s="16" t="s">
        <v>228</v>
      </c>
      <c r="D18" s="15">
        <f>12*864.4*2.66</f>
        <v>27591.648000000001</v>
      </c>
    </row>
    <row r="19" spans="1:4">
      <c r="A19" s="7">
        <v>26</v>
      </c>
      <c r="B19" s="10" t="s">
        <v>225</v>
      </c>
      <c r="C19" s="16" t="s">
        <v>228</v>
      </c>
      <c r="D19" s="15">
        <f>12*864.4*0.06</f>
        <v>622.36799999999994</v>
      </c>
    </row>
    <row r="20" spans="1:4">
      <c r="A20" s="7"/>
      <c r="B20" s="10" t="s">
        <v>239</v>
      </c>
      <c r="C20" s="16" t="s">
        <v>228</v>
      </c>
      <c r="D20" s="15">
        <f>12*864.4*0.37</f>
        <v>3837.9359999999997</v>
      </c>
    </row>
    <row r="21" spans="1:4">
      <c r="A21" s="7">
        <v>27</v>
      </c>
      <c r="B21" s="11" t="s">
        <v>20</v>
      </c>
      <c r="C21" s="16" t="s">
        <v>228</v>
      </c>
      <c r="D21" s="14">
        <f>D19+D18+D17+D16+D15+D14+D13+D12+D11+D20</f>
        <v>177065.24799999996</v>
      </c>
    </row>
    <row r="22" spans="1:4">
      <c r="A22" s="7">
        <v>28</v>
      </c>
      <c r="B22" s="8" t="s">
        <v>21</v>
      </c>
      <c r="C22" s="16" t="s">
        <v>228</v>
      </c>
      <c r="D22" s="14">
        <f>D7-D21</f>
        <v>-24999.999999999942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33</v>
      </c>
      <c r="B25" s="9" t="s">
        <v>26</v>
      </c>
      <c r="C25" s="16" t="s">
        <v>228</v>
      </c>
      <c r="D25" s="84"/>
    </row>
    <row r="26" spans="1:4">
      <c r="A26" s="7">
        <v>35</v>
      </c>
      <c r="B26" s="9" t="s">
        <v>28</v>
      </c>
      <c r="C26" s="16" t="s">
        <v>228</v>
      </c>
      <c r="D26" s="84"/>
    </row>
    <row r="27" spans="1:4">
      <c r="A27" s="7">
        <v>42</v>
      </c>
      <c r="B27" s="9" t="s">
        <v>35</v>
      </c>
      <c r="C27" s="16" t="s">
        <v>228</v>
      </c>
      <c r="D27" s="84"/>
    </row>
    <row r="28" spans="1:4">
      <c r="A28" s="7">
        <v>44</v>
      </c>
      <c r="B28" s="9" t="s">
        <v>38</v>
      </c>
      <c r="C28" s="16" t="s">
        <v>228</v>
      </c>
      <c r="D28" s="84"/>
    </row>
    <row r="29" spans="1:4" ht="24">
      <c r="A29" s="7">
        <v>64</v>
      </c>
      <c r="B29" s="12" t="s">
        <v>59</v>
      </c>
      <c r="C29" s="16" t="s">
        <v>228</v>
      </c>
      <c r="D29" s="84"/>
    </row>
    <row r="30" spans="1:4">
      <c r="A30" s="7">
        <v>68</v>
      </c>
      <c r="B30" s="9" t="s">
        <v>63</v>
      </c>
      <c r="C30" s="16" t="s">
        <v>228</v>
      </c>
      <c r="D30" s="84"/>
    </row>
    <row r="31" spans="1:4">
      <c r="A31" s="7">
        <v>75</v>
      </c>
      <c r="B31" s="9" t="s">
        <v>70</v>
      </c>
      <c r="C31" s="16" t="s">
        <v>228</v>
      </c>
      <c r="D31" s="84"/>
    </row>
    <row r="32" spans="1:4">
      <c r="A32" s="7">
        <v>83</v>
      </c>
      <c r="B32" s="9" t="s">
        <v>80</v>
      </c>
      <c r="C32" s="16" t="s">
        <v>228</v>
      </c>
      <c r="D32" s="93">
        <v>28000</v>
      </c>
    </row>
    <row r="33" spans="1:4">
      <c r="A33" s="7">
        <v>97</v>
      </c>
      <c r="B33" s="9" t="s">
        <v>233</v>
      </c>
      <c r="C33" s="16" t="s">
        <v>228</v>
      </c>
      <c r="D33" s="84"/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</f>
        <v>28000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14009.839999999997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D36"/>
  <sheetViews>
    <sheetView workbookViewId="0">
      <selection activeCell="B7" sqref="B7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187114.96799999999</v>
      </c>
    </row>
    <row r="7" spans="1:4">
      <c r="A7" s="7">
        <v>2</v>
      </c>
      <c r="B7" s="9" t="s">
        <v>5</v>
      </c>
      <c r="C7" s="16" t="s">
        <v>228</v>
      </c>
      <c r="D7" s="15">
        <f>833.4*12*14.66</f>
        <v>146611.728</v>
      </c>
    </row>
    <row r="8" spans="1:4">
      <c r="A8" s="7">
        <v>3</v>
      </c>
      <c r="B8" s="9" t="s">
        <v>6</v>
      </c>
      <c r="C8" s="16" t="s">
        <v>228</v>
      </c>
      <c r="D8" s="15">
        <f>833.4*12*4.05</f>
        <v>40503.24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833.4*12*2.29</f>
        <v>22901.831999999999</v>
      </c>
    </row>
    <row r="12" spans="1:4">
      <c r="A12" s="7">
        <v>14</v>
      </c>
      <c r="B12" s="10" t="s">
        <v>11</v>
      </c>
      <c r="C12" s="16" t="s">
        <v>228</v>
      </c>
      <c r="D12" s="15">
        <f>833.4*12*1.85</f>
        <v>18501.48</v>
      </c>
    </row>
    <row r="13" spans="1:4">
      <c r="A13" s="7">
        <v>15</v>
      </c>
      <c r="B13" s="10" t="s">
        <v>229</v>
      </c>
      <c r="C13" s="16" t="s">
        <v>228</v>
      </c>
      <c r="D13" s="15">
        <v>25000</v>
      </c>
    </row>
    <row r="14" spans="1:4">
      <c r="A14" s="7">
        <v>16</v>
      </c>
      <c r="B14" s="10" t="s">
        <v>13</v>
      </c>
      <c r="C14" s="16" t="s">
        <v>228</v>
      </c>
      <c r="D14" s="15">
        <f>833.4*12*2.28</f>
        <v>22801.823999999997</v>
      </c>
    </row>
    <row r="15" spans="1:4">
      <c r="A15" s="7">
        <v>22</v>
      </c>
      <c r="B15" s="10" t="s">
        <v>16</v>
      </c>
      <c r="C15" s="16" t="s">
        <v>228</v>
      </c>
      <c r="D15" s="15">
        <f>833.4*12*1.68</f>
        <v>16801.343999999997</v>
      </c>
    </row>
    <row r="16" spans="1:4">
      <c r="A16" s="7">
        <v>23</v>
      </c>
      <c r="B16" s="10" t="s">
        <v>17</v>
      </c>
      <c r="C16" s="16" t="s">
        <v>228</v>
      </c>
      <c r="D16" s="15">
        <f>833.4*12*2.28</f>
        <v>22801.823999999997</v>
      </c>
    </row>
    <row r="17" spans="1:4">
      <c r="A17" s="7">
        <v>24</v>
      </c>
      <c r="B17" s="10" t="s">
        <v>18</v>
      </c>
      <c r="C17" s="16" t="s">
        <v>228</v>
      </c>
      <c r="D17" s="15">
        <f>833.4*1.19*12</f>
        <v>11900.951999999999</v>
      </c>
    </row>
    <row r="18" spans="1:4">
      <c r="A18" s="7">
        <v>25</v>
      </c>
      <c r="B18" s="10" t="s">
        <v>19</v>
      </c>
      <c r="C18" s="16" t="s">
        <v>228</v>
      </c>
      <c r="D18" s="15">
        <f>833.4*12*2.66</f>
        <v>26602.128000000001</v>
      </c>
    </row>
    <row r="19" spans="1:4">
      <c r="A19" s="7">
        <v>26</v>
      </c>
      <c r="B19" s="10" t="s">
        <v>225</v>
      </c>
      <c r="C19" s="16" t="s">
        <v>228</v>
      </c>
      <c r="D19" s="15">
        <f>833.4*12*0.06</f>
        <v>600.04799999999989</v>
      </c>
    </row>
    <row r="20" spans="1:4">
      <c r="A20" s="7"/>
      <c r="B20" s="10" t="s">
        <v>239</v>
      </c>
      <c r="C20" s="16" t="s">
        <v>228</v>
      </c>
      <c r="D20" s="15">
        <f>833.4*12*0.37</f>
        <v>3700.2959999999998</v>
      </c>
    </row>
    <row r="21" spans="1:4">
      <c r="A21" s="7">
        <v>27</v>
      </c>
      <c r="B21" s="11" t="s">
        <v>20</v>
      </c>
      <c r="C21" s="16" t="s">
        <v>228</v>
      </c>
      <c r="D21" s="14">
        <f>D19+D18+D17+D16+D15+D14+D13+D12+D11+D20</f>
        <v>171611.72799999997</v>
      </c>
    </row>
    <row r="22" spans="1:4">
      <c r="A22" s="7">
        <v>28</v>
      </c>
      <c r="B22" s="8" t="s">
        <v>21</v>
      </c>
      <c r="C22" s="16" t="s">
        <v>228</v>
      </c>
      <c r="D22" s="14">
        <f>D7-D21</f>
        <v>-24999.999999999971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33</v>
      </c>
      <c r="B25" s="9" t="s">
        <v>26</v>
      </c>
      <c r="C25" s="16" t="s">
        <v>228</v>
      </c>
      <c r="D25" s="93"/>
    </row>
    <row r="26" spans="1:4">
      <c r="A26" s="7">
        <v>35</v>
      </c>
      <c r="B26" s="9" t="s">
        <v>28</v>
      </c>
      <c r="C26" s="16" t="s">
        <v>228</v>
      </c>
      <c r="D26" s="93"/>
    </row>
    <row r="27" spans="1:4">
      <c r="A27" s="7">
        <v>42</v>
      </c>
      <c r="B27" s="9" t="s">
        <v>35</v>
      </c>
      <c r="C27" s="16" t="s">
        <v>228</v>
      </c>
      <c r="D27" s="93"/>
    </row>
    <row r="28" spans="1:4">
      <c r="A28" s="7">
        <v>44</v>
      </c>
      <c r="B28" s="9" t="s">
        <v>38</v>
      </c>
      <c r="C28" s="16" t="s">
        <v>228</v>
      </c>
      <c r="D28" s="93"/>
    </row>
    <row r="29" spans="1:4" ht="24">
      <c r="A29" s="7">
        <v>64</v>
      </c>
      <c r="B29" s="12" t="s">
        <v>59</v>
      </c>
      <c r="C29" s="16" t="s">
        <v>228</v>
      </c>
      <c r="D29" s="93"/>
    </row>
    <row r="30" spans="1:4">
      <c r="A30" s="7">
        <v>68</v>
      </c>
      <c r="B30" s="9" t="s">
        <v>63</v>
      </c>
      <c r="C30" s="16" t="s">
        <v>228</v>
      </c>
      <c r="D30" s="93"/>
    </row>
    <row r="31" spans="1:4">
      <c r="A31" s="7">
        <v>75</v>
      </c>
      <c r="B31" s="9" t="s">
        <v>70</v>
      </c>
      <c r="C31" s="16" t="s">
        <v>228</v>
      </c>
      <c r="D31" s="93"/>
    </row>
    <row r="32" spans="1:4">
      <c r="A32" s="7">
        <v>83</v>
      </c>
      <c r="B32" s="9" t="s">
        <v>80</v>
      </c>
      <c r="C32" s="16" t="s">
        <v>228</v>
      </c>
      <c r="D32" s="93">
        <v>28000</v>
      </c>
    </row>
    <row r="33" spans="1:4">
      <c r="A33" s="7"/>
      <c r="B33" s="9" t="s">
        <v>234</v>
      </c>
      <c r="C33" s="16" t="s">
        <v>228</v>
      </c>
      <c r="D33" s="93"/>
    </row>
    <row r="34" spans="1:4">
      <c r="A34" s="7">
        <v>97</v>
      </c>
      <c r="B34" s="9" t="s">
        <v>233</v>
      </c>
      <c r="C34" s="16" t="s">
        <v>228</v>
      </c>
      <c r="D34" s="93"/>
    </row>
    <row r="35" spans="1:4">
      <c r="A35" s="7">
        <v>98</v>
      </c>
      <c r="B35" s="11" t="s">
        <v>20</v>
      </c>
      <c r="C35" s="16" t="s">
        <v>228</v>
      </c>
      <c r="D35" s="14">
        <f>D34+D33+D32+D31+D30+D29+D28+D27+D26+D25</f>
        <v>28000</v>
      </c>
    </row>
    <row r="36" spans="1:4">
      <c r="A36" s="7">
        <v>103</v>
      </c>
      <c r="B36" s="8" t="s">
        <v>21</v>
      </c>
      <c r="C36" s="16" t="s">
        <v>228</v>
      </c>
      <c r="D36" s="14">
        <f>D8-D35</f>
        <v>12503.239999999998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workbookViewId="0">
      <selection activeCell="B7" sqref="B7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189135.64799999999</v>
      </c>
    </row>
    <row r="7" spans="1:4">
      <c r="A7" s="7">
        <v>2</v>
      </c>
      <c r="B7" s="9" t="s">
        <v>5</v>
      </c>
      <c r="C7" s="16" t="s">
        <v>228</v>
      </c>
      <c r="D7" s="15">
        <f>842.4*12*14.66</f>
        <v>148195.008</v>
      </c>
    </row>
    <row r="8" spans="1:4">
      <c r="A8" s="7">
        <v>3</v>
      </c>
      <c r="B8" s="9" t="s">
        <v>6</v>
      </c>
      <c r="C8" s="16" t="s">
        <v>228</v>
      </c>
      <c r="D8" s="15">
        <f>842.4*12*4.05</f>
        <v>40940.639999999992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842.4*12*2.29</f>
        <v>23149.151999999998</v>
      </c>
    </row>
    <row r="12" spans="1:4">
      <c r="A12" s="7">
        <v>14</v>
      </c>
      <c r="B12" s="10" t="s">
        <v>11</v>
      </c>
      <c r="C12" s="16" t="s">
        <v>228</v>
      </c>
      <c r="D12" s="15">
        <f>842.4*12*1.85</f>
        <v>18701.28</v>
      </c>
    </row>
    <row r="13" spans="1:4">
      <c r="A13" s="7">
        <v>15</v>
      </c>
      <c r="B13" s="10" t="s">
        <v>229</v>
      </c>
      <c r="C13" s="16" t="s">
        <v>228</v>
      </c>
      <c r="D13" s="15">
        <v>25000</v>
      </c>
    </row>
    <row r="14" spans="1:4">
      <c r="A14" s="7">
        <v>16</v>
      </c>
      <c r="B14" s="10" t="s">
        <v>13</v>
      </c>
      <c r="C14" s="16" t="s">
        <v>228</v>
      </c>
      <c r="D14" s="15">
        <f>842.4*12*2.28</f>
        <v>23048.063999999995</v>
      </c>
    </row>
    <row r="15" spans="1:4">
      <c r="A15" s="7">
        <v>22</v>
      </c>
      <c r="B15" s="10" t="s">
        <v>16</v>
      </c>
      <c r="C15" s="16" t="s">
        <v>228</v>
      </c>
      <c r="D15" s="15">
        <f>842.4*12*1.68</f>
        <v>16982.784</v>
      </c>
    </row>
    <row r="16" spans="1:4">
      <c r="A16" s="7">
        <v>23</v>
      </c>
      <c r="B16" s="10" t="s">
        <v>17</v>
      </c>
      <c r="C16" s="16" t="s">
        <v>228</v>
      </c>
      <c r="D16" s="15">
        <f>842.4*12*2.28</f>
        <v>23048.063999999995</v>
      </c>
    </row>
    <row r="17" spans="1:4">
      <c r="A17" s="7">
        <v>24</v>
      </c>
      <c r="B17" s="10" t="s">
        <v>18</v>
      </c>
      <c r="C17" s="16" t="s">
        <v>228</v>
      </c>
      <c r="D17" s="15">
        <f>842.4*12*1.19</f>
        <v>12029.471999999998</v>
      </c>
    </row>
    <row r="18" spans="1:4">
      <c r="A18" s="7">
        <v>25</v>
      </c>
      <c r="B18" s="10" t="s">
        <v>19</v>
      </c>
      <c r="C18" s="16" t="s">
        <v>228</v>
      </c>
      <c r="D18" s="15">
        <f>842.4*12*2.66</f>
        <v>26889.407999999999</v>
      </c>
    </row>
    <row r="19" spans="1:4">
      <c r="A19" s="7">
        <v>26</v>
      </c>
      <c r="B19" s="10" t="s">
        <v>225</v>
      </c>
      <c r="C19" s="16" t="s">
        <v>228</v>
      </c>
      <c r="D19" s="15">
        <f>842.4*12*0.06</f>
        <v>606.52799999999991</v>
      </c>
    </row>
    <row r="20" spans="1:4">
      <c r="A20" s="7"/>
      <c r="B20" s="10" t="s">
        <v>239</v>
      </c>
      <c r="C20" s="16" t="s">
        <v>228</v>
      </c>
      <c r="D20" s="15">
        <f>842.4*12*0.37</f>
        <v>3740.2559999999999</v>
      </c>
    </row>
    <row r="21" spans="1:4">
      <c r="A21" s="7">
        <v>27</v>
      </c>
      <c r="B21" s="11" t="s">
        <v>20</v>
      </c>
      <c r="C21" s="16" t="s">
        <v>228</v>
      </c>
      <c r="D21" s="14">
        <f>D19+D18+D17+D16+D15+D14+D13+D12+D11+D20</f>
        <v>173195.00799999997</v>
      </c>
    </row>
    <row r="22" spans="1:4">
      <c r="A22" s="7">
        <v>28</v>
      </c>
      <c r="B22" s="8" t="s">
        <v>21</v>
      </c>
      <c r="C22" s="16" t="s">
        <v>228</v>
      </c>
      <c r="D22" s="14">
        <f>D7-D21</f>
        <v>-24999.999999999971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33</v>
      </c>
      <c r="B25" s="9" t="s">
        <v>26</v>
      </c>
      <c r="C25" s="16" t="s">
        <v>228</v>
      </c>
      <c r="D25" s="84"/>
    </row>
    <row r="26" spans="1:4">
      <c r="A26" s="7">
        <v>35</v>
      </c>
      <c r="B26" s="9" t="s">
        <v>28</v>
      </c>
      <c r="C26" s="16" t="s">
        <v>228</v>
      </c>
      <c r="D26" s="84"/>
    </row>
    <row r="27" spans="1:4">
      <c r="A27" s="7">
        <v>42</v>
      </c>
      <c r="B27" s="9" t="s">
        <v>35</v>
      </c>
      <c r="C27" s="16" t="s">
        <v>228</v>
      </c>
      <c r="D27" s="84"/>
    </row>
    <row r="28" spans="1:4">
      <c r="A28" s="7">
        <v>44</v>
      </c>
      <c r="B28" s="9" t="s">
        <v>38</v>
      </c>
      <c r="C28" s="16" t="s">
        <v>228</v>
      </c>
      <c r="D28" s="84"/>
    </row>
    <row r="29" spans="1:4" ht="24">
      <c r="A29" s="7">
        <v>64</v>
      </c>
      <c r="B29" s="12" t="s">
        <v>59</v>
      </c>
      <c r="C29" s="16" t="s">
        <v>228</v>
      </c>
      <c r="D29" s="84"/>
    </row>
    <row r="30" spans="1:4">
      <c r="A30" s="7">
        <v>68</v>
      </c>
      <c r="B30" s="9" t="s">
        <v>63</v>
      </c>
      <c r="C30" s="16" t="s">
        <v>228</v>
      </c>
      <c r="D30" s="84"/>
    </row>
    <row r="31" spans="1:4">
      <c r="A31" s="7">
        <v>83</v>
      </c>
      <c r="B31" s="9" t="s">
        <v>80</v>
      </c>
      <c r="C31" s="16" t="s">
        <v>228</v>
      </c>
      <c r="D31" s="93">
        <v>28000</v>
      </c>
    </row>
    <row r="32" spans="1:4">
      <c r="A32" s="7">
        <v>94</v>
      </c>
      <c r="B32" s="9" t="s">
        <v>92</v>
      </c>
      <c r="C32" s="16" t="s">
        <v>228</v>
      </c>
      <c r="D32" s="84"/>
    </row>
    <row r="33" spans="1:4">
      <c r="A33" s="7">
        <v>97</v>
      </c>
      <c r="B33" s="9" t="s">
        <v>233</v>
      </c>
      <c r="C33" s="16" t="s">
        <v>228</v>
      </c>
      <c r="D33" s="84"/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</f>
        <v>28000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12940.639999999992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D36"/>
  <sheetViews>
    <sheetView workbookViewId="0">
      <selection activeCell="B7" sqref="B7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142660.008</v>
      </c>
    </row>
    <row r="7" spans="1:4">
      <c r="A7" s="7">
        <v>2</v>
      </c>
      <c r="B7" s="9" t="s">
        <v>5</v>
      </c>
      <c r="C7" s="16" t="s">
        <v>228</v>
      </c>
      <c r="D7" s="15">
        <f>847.2*9*14.66</f>
        <v>111779.568</v>
      </c>
    </row>
    <row r="8" spans="1:4">
      <c r="A8" s="7">
        <v>3</v>
      </c>
      <c r="B8" s="9" t="s">
        <v>6</v>
      </c>
      <c r="C8" s="16" t="s">
        <v>228</v>
      </c>
      <c r="D8" s="15">
        <f>847.2*9*4.05</f>
        <v>30880.44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847.2*9*2.29</f>
        <v>17460.792000000001</v>
      </c>
    </row>
    <row r="12" spans="1:4">
      <c r="A12" s="7">
        <v>14</v>
      </c>
      <c r="B12" s="10" t="s">
        <v>11</v>
      </c>
      <c r="C12" s="16" t="s">
        <v>228</v>
      </c>
      <c r="D12" s="15">
        <f>847.2*9*1.85</f>
        <v>14105.880000000001</v>
      </c>
    </row>
    <row r="13" spans="1:4">
      <c r="A13" s="7">
        <v>15</v>
      </c>
      <c r="B13" s="10" t="s">
        <v>229</v>
      </c>
      <c r="C13" s="16" t="s">
        <v>228</v>
      </c>
      <c r="D13" s="15">
        <v>25000</v>
      </c>
    </row>
    <row r="14" spans="1:4">
      <c r="A14" s="7">
        <v>16</v>
      </c>
      <c r="B14" s="10" t="s">
        <v>13</v>
      </c>
      <c r="C14" s="16" t="s">
        <v>228</v>
      </c>
      <c r="D14" s="15">
        <f>847.2*9*2.28</f>
        <v>17384.543999999998</v>
      </c>
    </row>
    <row r="15" spans="1:4">
      <c r="A15" s="7">
        <v>18</v>
      </c>
      <c r="B15" s="10" t="s">
        <v>239</v>
      </c>
      <c r="C15" s="16" t="s">
        <v>228</v>
      </c>
      <c r="D15" s="15">
        <f>847.2*9*0.37</f>
        <v>2821.1759999999999</v>
      </c>
    </row>
    <row r="16" spans="1:4">
      <c r="A16" s="7">
        <v>22</v>
      </c>
      <c r="B16" s="10" t="s">
        <v>16</v>
      </c>
      <c r="C16" s="16" t="s">
        <v>228</v>
      </c>
      <c r="D16" s="15">
        <f>847.2*9*1.68</f>
        <v>12809.664000000001</v>
      </c>
    </row>
    <row r="17" spans="1:4">
      <c r="A17" s="7">
        <v>23</v>
      </c>
      <c r="B17" s="10" t="s">
        <v>17</v>
      </c>
      <c r="C17" s="16" t="s">
        <v>228</v>
      </c>
      <c r="D17" s="15">
        <f>847.2*9*2.28</f>
        <v>17384.543999999998</v>
      </c>
    </row>
    <row r="18" spans="1:4">
      <c r="A18" s="7">
        <v>24</v>
      </c>
      <c r="B18" s="10" t="s">
        <v>18</v>
      </c>
      <c r="C18" s="16" t="s">
        <v>228</v>
      </c>
      <c r="D18" s="15">
        <f>847.2*9*1.19</f>
        <v>9073.5120000000006</v>
      </c>
    </row>
    <row r="19" spans="1:4">
      <c r="A19" s="7">
        <v>25</v>
      </c>
      <c r="B19" s="10" t="s">
        <v>19</v>
      </c>
      <c r="C19" s="16" t="s">
        <v>228</v>
      </c>
      <c r="D19" s="15">
        <f>847.2*9*2.66</f>
        <v>20281.968000000001</v>
      </c>
    </row>
    <row r="20" spans="1:4">
      <c r="A20" s="7">
        <v>26</v>
      </c>
      <c r="B20" s="10" t="s">
        <v>225</v>
      </c>
      <c r="C20" s="16" t="s">
        <v>228</v>
      </c>
      <c r="D20" s="15">
        <f>847.2*9*0.06</f>
        <v>457.488</v>
      </c>
    </row>
    <row r="21" spans="1:4">
      <c r="A21" s="7">
        <v>27</v>
      </c>
      <c r="B21" s="11" t="s">
        <v>20</v>
      </c>
      <c r="C21" s="16" t="s">
        <v>228</v>
      </c>
      <c r="D21" s="14">
        <f>D20+D19+D18+D17+D16+D15+D14+D13+D12+D11</f>
        <v>136779.56800000003</v>
      </c>
    </row>
    <row r="22" spans="1:4">
      <c r="A22" s="7">
        <v>28</v>
      </c>
      <c r="B22" s="8" t="s">
        <v>21</v>
      </c>
      <c r="C22" s="16" t="s">
        <v>228</v>
      </c>
      <c r="D22" s="14">
        <f>D7-D21</f>
        <v>-25000.000000000029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84"/>
    </row>
    <row r="26" spans="1:4">
      <c r="A26" s="7">
        <v>33</v>
      </c>
      <c r="B26" s="9" t="s">
        <v>26</v>
      </c>
      <c r="C26" s="16" t="s">
        <v>228</v>
      </c>
      <c r="D26" s="84"/>
    </row>
    <row r="27" spans="1:4">
      <c r="A27" s="7">
        <v>35</v>
      </c>
      <c r="B27" s="9" t="s">
        <v>28</v>
      </c>
      <c r="C27" s="16" t="s">
        <v>228</v>
      </c>
      <c r="D27" s="84"/>
    </row>
    <row r="28" spans="1:4">
      <c r="A28" s="7">
        <v>42</v>
      </c>
      <c r="B28" s="9" t="s">
        <v>35</v>
      </c>
      <c r="C28" s="16" t="s">
        <v>228</v>
      </c>
      <c r="D28" s="84"/>
    </row>
    <row r="29" spans="1:4" ht="24">
      <c r="A29" s="7">
        <v>64</v>
      </c>
      <c r="B29" s="12" t="s">
        <v>59</v>
      </c>
      <c r="C29" s="16" t="s">
        <v>228</v>
      </c>
      <c r="D29" s="84"/>
    </row>
    <row r="30" spans="1:4">
      <c r="A30" s="7">
        <v>68</v>
      </c>
      <c r="B30" s="9" t="s">
        <v>63</v>
      </c>
      <c r="C30" s="16" t="s">
        <v>228</v>
      </c>
      <c r="D30" s="84"/>
    </row>
    <row r="31" spans="1:4">
      <c r="A31" s="7">
        <v>75</v>
      </c>
      <c r="B31" s="9" t="s">
        <v>70</v>
      </c>
      <c r="C31" s="16" t="s">
        <v>228</v>
      </c>
      <c r="D31" s="84"/>
    </row>
    <row r="32" spans="1:4">
      <c r="A32" s="7"/>
      <c r="B32" s="9" t="s">
        <v>235</v>
      </c>
      <c r="C32" s="16" t="s">
        <v>228</v>
      </c>
      <c r="D32" s="84"/>
    </row>
    <row r="33" spans="1:4">
      <c r="A33" s="7">
        <v>83</v>
      </c>
      <c r="B33" s="9" t="s">
        <v>80</v>
      </c>
      <c r="C33" s="16" t="s">
        <v>228</v>
      </c>
      <c r="D33" s="84"/>
    </row>
    <row r="34" spans="1:4">
      <c r="A34" s="7">
        <v>97</v>
      </c>
      <c r="B34" s="9" t="s">
        <v>233</v>
      </c>
      <c r="C34" s="16" t="s">
        <v>228</v>
      </c>
      <c r="D34" s="84"/>
    </row>
    <row r="35" spans="1:4">
      <c r="A35" s="7">
        <v>98</v>
      </c>
      <c r="B35" s="11" t="s">
        <v>20</v>
      </c>
      <c r="C35" s="16" t="s">
        <v>228</v>
      </c>
      <c r="D35" s="14">
        <f>D34+D33+D31+D30+D29+D28+D27+D26+D25+D32</f>
        <v>0</v>
      </c>
    </row>
    <row r="36" spans="1:4">
      <c r="A36" s="7">
        <v>103</v>
      </c>
      <c r="B36" s="8" t="s">
        <v>21</v>
      </c>
      <c r="C36" s="16" t="s">
        <v>228</v>
      </c>
      <c r="D36" s="14">
        <f>D8-D35</f>
        <v>30880.44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workbookViewId="0">
      <selection activeCell="D16" sqref="D16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143501.95800000001</v>
      </c>
    </row>
    <row r="7" spans="1:4">
      <c r="A7" s="7">
        <v>2</v>
      </c>
      <c r="B7" s="9" t="s">
        <v>5</v>
      </c>
      <c r="C7" s="16" t="s">
        <v>228</v>
      </c>
      <c r="D7" s="15">
        <f>852.2*9*14.66</f>
        <v>112439.26800000001</v>
      </c>
    </row>
    <row r="8" spans="1:4">
      <c r="A8" s="7">
        <v>3</v>
      </c>
      <c r="B8" s="9" t="s">
        <v>6</v>
      </c>
      <c r="C8" s="16" t="s">
        <v>228</v>
      </c>
      <c r="D8" s="15">
        <f>852.2*9*4.05</f>
        <v>31062.69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852.2*9*2.29</f>
        <v>17563.842000000001</v>
      </c>
    </row>
    <row r="12" spans="1:4">
      <c r="A12" s="7">
        <v>14</v>
      </c>
      <c r="B12" s="10" t="s">
        <v>11</v>
      </c>
      <c r="C12" s="16" t="s">
        <v>228</v>
      </c>
      <c r="D12" s="15">
        <f>852.2*9*1.85</f>
        <v>14189.130000000001</v>
      </c>
    </row>
    <row r="13" spans="1:4">
      <c r="A13" s="7">
        <v>16</v>
      </c>
      <c r="B13" s="10" t="s">
        <v>13</v>
      </c>
      <c r="C13" s="16" t="s">
        <v>228</v>
      </c>
      <c r="D13" s="15">
        <f>852.2*9*2.28</f>
        <v>17487.144</v>
      </c>
    </row>
    <row r="14" spans="1:4">
      <c r="A14" s="7">
        <v>18</v>
      </c>
      <c r="B14" s="10" t="s">
        <v>239</v>
      </c>
      <c r="C14" s="16" t="s">
        <v>228</v>
      </c>
      <c r="D14" s="15">
        <f>852.2*9*0.37</f>
        <v>2837.826</v>
      </c>
    </row>
    <row r="15" spans="1:4">
      <c r="A15" s="7">
        <v>20</v>
      </c>
      <c r="B15" s="10" t="s">
        <v>229</v>
      </c>
      <c r="C15" s="16" t="s">
        <v>228</v>
      </c>
      <c r="D15" s="15">
        <v>0</v>
      </c>
    </row>
    <row r="16" spans="1:4">
      <c r="A16" s="7">
        <v>22</v>
      </c>
      <c r="B16" s="10" t="s">
        <v>16</v>
      </c>
      <c r="C16" s="16" t="s">
        <v>228</v>
      </c>
      <c r="D16" s="15">
        <f>852.2*9*1.68</f>
        <v>12885.263999999999</v>
      </c>
    </row>
    <row r="17" spans="1:4">
      <c r="A17" s="7">
        <v>23</v>
      </c>
      <c r="B17" s="10" t="s">
        <v>17</v>
      </c>
      <c r="C17" s="16" t="s">
        <v>228</v>
      </c>
      <c r="D17" s="15">
        <f>852.2*9*2.28</f>
        <v>17487.144</v>
      </c>
    </row>
    <row r="18" spans="1:4">
      <c r="A18" s="7">
        <v>24</v>
      </c>
      <c r="B18" s="10" t="s">
        <v>18</v>
      </c>
      <c r="C18" s="16" t="s">
        <v>228</v>
      </c>
      <c r="D18" s="15">
        <f>852.2*9*1.19</f>
        <v>9127.0619999999999</v>
      </c>
    </row>
    <row r="19" spans="1:4">
      <c r="A19" s="7">
        <v>25</v>
      </c>
      <c r="B19" s="10" t="s">
        <v>19</v>
      </c>
      <c r="C19" s="16" t="s">
        <v>228</v>
      </c>
      <c r="D19" s="15">
        <f>852.2*9*2.66</f>
        <v>20401.668000000001</v>
      </c>
    </row>
    <row r="20" spans="1:4">
      <c r="A20" s="7">
        <v>26</v>
      </c>
      <c r="B20" s="10" t="s">
        <v>225</v>
      </c>
      <c r="C20" s="16" t="s">
        <v>228</v>
      </c>
      <c r="D20" s="15">
        <f>852.2*9*0.06</f>
        <v>460.18799999999999</v>
      </c>
    </row>
    <row r="21" spans="1:4">
      <c r="A21" s="7">
        <v>27</v>
      </c>
      <c r="B21" s="11" t="s">
        <v>20</v>
      </c>
      <c r="C21" s="16" t="s">
        <v>228</v>
      </c>
      <c r="D21" s="14">
        <f>D20+D19+D18+D17+D16+D15+D14+D13+D12+D11</f>
        <v>112439.26800000001</v>
      </c>
    </row>
    <row r="22" spans="1:4">
      <c r="A22" s="7">
        <v>28</v>
      </c>
      <c r="B22" s="8" t="s">
        <v>21</v>
      </c>
      <c r="C22" s="16" t="s">
        <v>228</v>
      </c>
      <c r="D22" s="14">
        <f>D7-D21</f>
        <v>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7" t="s">
        <v>4</v>
      </c>
      <c r="D24" s="14"/>
    </row>
    <row r="25" spans="1:4">
      <c r="A25" s="7">
        <v>35</v>
      </c>
      <c r="B25" s="9" t="s">
        <v>28</v>
      </c>
      <c r="C25" s="16" t="s">
        <v>228</v>
      </c>
      <c r="D25" s="84"/>
    </row>
    <row r="26" spans="1:4">
      <c r="A26" s="7">
        <v>42</v>
      </c>
      <c r="B26" s="9" t="s">
        <v>35</v>
      </c>
      <c r="C26" s="16" t="s">
        <v>228</v>
      </c>
      <c r="D26" s="84"/>
    </row>
    <row r="27" spans="1:4">
      <c r="A27" s="7">
        <v>68</v>
      </c>
      <c r="B27" s="9" t="s">
        <v>63</v>
      </c>
      <c r="C27" s="16" t="s">
        <v>228</v>
      </c>
      <c r="D27" s="84"/>
    </row>
    <row r="28" spans="1:4">
      <c r="A28" s="7">
        <v>83</v>
      </c>
      <c r="B28" s="9" t="s">
        <v>80</v>
      </c>
      <c r="C28" s="16" t="s">
        <v>228</v>
      </c>
      <c r="D28" s="84"/>
    </row>
    <row r="29" spans="1:4">
      <c r="A29" s="7">
        <v>95</v>
      </c>
      <c r="B29" s="9" t="s">
        <v>93</v>
      </c>
      <c r="C29" s="16" t="s">
        <v>228</v>
      </c>
      <c r="D29" s="84"/>
    </row>
    <row r="30" spans="1:4">
      <c r="A30" s="7">
        <v>96</v>
      </c>
      <c r="B30" s="9" t="s">
        <v>235</v>
      </c>
      <c r="C30" s="16" t="s">
        <v>228</v>
      </c>
      <c r="D30" s="84"/>
    </row>
    <row r="31" spans="1:4">
      <c r="A31" s="7">
        <v>97</v>
      </c>
      <c r="B31" s="9" t="s">
        <v>233</v>
      </c>
      <c r="C31" s="16" t="s">
        <v>228</v>
      </c>
      <c r="D31" s="84"/>
    </row>
    <row r="32" spans="1:4">
      <c r="A32" s="7">
        <v>98</v>
      </c>
      <c r="B32" s="11" t="s">
        <v>20</v>
      </c>
      <c r="C32" s="16" t="s">
        <v>228</v>
      </c>
      <c r="D32" s="14">
        <f>D31+D30+D29+D28+D27+D26+D25</f>
        <v>0</v>
      </c>
    </row>
    <row r="33" spans="1:4">
      <c r="A33" s="7">
        <v>103</v>
      </c>
      <c r="B33" s="8" t="s">
        <v>21</v>
      </c>
      <c r="C33" s="16" t="s">
        <v>228</v>
      </c>
      <c r="D33" s="14">
        <f>D8-D32</f>
        <v>31062.69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D36"/>
  <sheetViews>
    <sheetView workbookViewId="0">
      <selection activeCell="D14" sqref="D14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145202.69699999999</v>
      </c>
    </row>
    <row r="7" spans="1:4">
      <c r="A7" s="7">
        <v>2</v>
      </c>
      <c r="B7" s="9" t="s">
        <v>5</v>
      </c>
      <c r="C7" s="16" t="s">
        <v>228</v>
      </c>
      <c r="D7" s="15">
        <f>862.3*9*14.66</f>
        <v>113771.86199999999</v>
      </c>
    </row>
    <row r="8" spans="1:4">
      <c r="A8" s="7">
        <v>3</v>
      </c>
      <c r="B8" s="9" t="s">
        <v>6</v>
      </c>
      <c r="C8" s="16" t="s">
        <v>228</v>
      </c>
      <c r="D8" s="15">
        <f>862.3*9*4.05</f>
        <v>31430.834999999999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862.3*9*2.29</f>
        <v>17772.003000000001</v>
      </c>
    </row>
    <row r="12" spans="1:4">
      <c r="A12" s="7">
        <v>14</v>
      </c>
      <c r="B12" s="10" t="s">
        <v>11</v>
      </c>
      <c r="C12" s="16" t="s">
        <v>228</v>
      </c>
      <c r="D12" s="15">
        <f>862.3*9*1.85</f>
        <v>14357.295</v>
      </c>
    </row>
    <row r="13" spans="1:4">
      <c r="A13" s="7">
        <v>15</v>
      </c>
      <c r="B13" s="10" t="s">
        <v>229</v>
      </c>
      <c r="C13" s="16" t="s">
        <v>228</v>
      </c>
      <c r="D13" s="15">
        <v>0</v>
      </c>
    </row>
    <row r="14" spans="1:4">
      <c r="A14" s="7">
        <v>16</v>
      </c>
      <c r="B14" s="10" t="s">
        <v>13</v>
      </c>
      <c r="C14" s="16" t="s">
        <v>228</v>
      </c>
      <c r="D14" s="15">
        <f>862.3*9*2.28</f>
        <v>17694.395999999997</v>
      </c>
    </row>
    <row r="15" spans="1:4">
      <c r="A15" s="7">
        <v>20</v>
      </c>
      <c r="B15" s="10" t="s">
        <v>239</v>
      </c>
      <c r="C15" s="16" t="s">
        <v>228</v>
      </c>
      <c r="D15" s="15">
        <f>862.3*9*0.37</f>
        <v>2871.4589999999998</v>
      </c>
    </row>
    <row r="16" spans="1:4">
      <c r="A16" s="7">
        <v>22</v>
      </c>
      <c r="B16" s="10" t="s">
        <v>16</v>
      </c>
      <c r="C16" s="16" t="s">
        <v>228</v>
      </c>
      <c r="D16" s="15">
        <f>862.3*9*1.68</f>
        <v>13037.975999999999</v>
      </c>
    </row>
    <row r="17" spans="1:4">
      <c r="A17" s="7">
        <v>23</v>
      </c>
      <c r="B17" s="10" t="s">
        <v>17</v>
      </c>
      <c r="C17" s="16" t="s">
        <v>228</v>
      </c>
      <c r="D17" s="15">
        <f>862.3*9*2.28</f>
        <v>17694.395999999997</v>
      </c>
    </row>
    <row r="18" spans="1:4">
      <c r="A18" s="7">
        <v>24</v>
      </c>
      <c r="B18" s="10" t="s">
        <v>18</v>
      </c>
      <c r="C18" s="16" t="s">
        <v>228</v>
      </c>
      <c r="D18" s="15">
        <f>862.3*9*1.19</f>
        <v>9235.2330000000002</v>
      </c>
    </row>
    <row r="19" spans="1:4">
      <c r="A19" s="7">
        <v>25</v>
      </c>
      <c r="B19" s="10" t="s">
        <v>19</v>
      </c>
      <c r="C19" s="16" t="s">
        <v>228</v>
      </c>
      <c r="D19" s="15">
        <f>862.3*9*2.66</f>
        <v>20643.462</v>
      </c>
    </row>
    <row r="20" spans="1:4">
      <c r="A20" s="7">
        <v>26</v>
      </c>
      <c r="B20" s="10" t="s">
        <v>225</v>
      </c>
      <c r="C20" s="16" t="s">
        <v>228</v>
      </c>
      <c r="D20" s="15">
        <f>862.3*9*0.06</f>
        <v>465.642</v>
      </c>
    </row>
    <row r="21" spans="1:4">
      <c r="A21" s="7">
        <v>27</v>
      </c>
      <c r="B21" s="11" t="s">
        <v>20</v>
      </c>
      <c r="C21" s="16" t="s">
        <v>228</v>
      </c>
      <c r="D21" s="14">
        <f>D20+D19+D18+D17+D16+D15+D14+D13+D12+D11</f>
        <v>113771.86199999998</v>
      </c>
    </row>
    <row r="22" spans="1:4">
      <c r="A22" s="7">
        <v>28</v>
      </c>
      <c r="B22" s="8" t="s">
        <v>21</v>
      </c>
      <c r="C22" s="16" t="s">
        <v>228</v>
      </c>
      <c r="D22" s="14">
        <f>D7-D21</f>
        <v>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84"/>
    </row>
    <row r="26" spans="1:4">
      <c r="A26" s="7">
        <v>33</v>
      </c>
      <c r="B26" s="9" t="s">
        <v>26</v>
      </c>
      <c r="C26" s="16" t="s">
        <v>228</v>
      </c>
      <c r="D26" s="84"/>
    </row>
    <row r="27" spans="1:4">
      <c r="A27" s="7">
        <v>35</v>
      </c>
      <c r="B27" s="9" t="s">
        <v>28</v>
      </c>
      <c r="C27" s="16" t="s">
        <v>228</v>
      </c>
      <c r="D27" s="84"/>
    </row>
    <row r="28" spans="1:4">
      <c r="A28" s="7">
        <v>36</v>
      </c>
      <c r="B28" s="9" t="s">
        <v>236</v>
      </c>
      <c r="C28" s="16" t="s">
        <v>228</v>
      </c>
      <c r="D28" s="84"/>
    </row>
    <row r="29" spans="1:4">
      <c r="A29" s="7">
        <v>42</v>
      </c>
      <c r="B29" s="9" t="s">
        <v>35</v>
      </c>
      <c r="C29" s="16" t="s">
        <v>228</v>
      </c>
      <c r="D29" s="84"/>
    </row>
    <row r="30" spans="1:4">
      <c r="A30" s="7">
        <v>68</v>
      </c>
      <c r="B30" s="9" t="s">
        <v>63</v>
      </c>
      <c r="C30" s="16" t="s">
        <v>228</v>
      </c>
      <c r="D30" s="84"/>
    </row>
    <row r="31" spans="1:4">
      <c r="A31" s="7">
        <v>77</v>
      </c>
      <c r="B31" s="9" t="s">
        <v>72</v>
      </c>
      <c r="C31" s="16" t="s">
        <v>228</v>
      </c>
      <c r="D31" s="84"/>
    </row>
    <row r="32" spans="1:4">
      <c r="A32" s="7">
        <v>83</v>
      </c>
      <c r="B32" s="9" t="s">
        <v>80</v>
      </c>
      <c r="C32" s="16" t="s">
        <v>228</v>
      </c>
      <c r="D32" s="84"/>
    </row>
    <row r="33" spans="1:4">
      <c r="A33" s="7">
        <v>94</v>
      </c>
      <c r="B33" s="9" t="s">
        <v>233</v>
      </c>
      <c r="C33" s="16" t="s">
        <v>228</v>
      </c>
      <c r="D33" s="84"/>
    </row>
    <row r="34" spans="1:4">
      <c r="A34" s="7">
        <v>95</v>
      </c>
      <c r="B34" s="9" t="s">
        <v>235</v>
      </c>
      <c r="C34" s="16" t="s">
        <v>228</v>
      </c>
      <c r="D34" s="84"/>
    </row>
    <row r="35" spans="1:4">
      <c r="A35" s="7">
        <v>98</v>
      </c>
      <c r="B35" s="11" t="s">
        <v>20</v>
      </c>
      <c r="C35" s="16" t="s">
        <v>228</v>
      </c>
      <c r="D35" s="14">
        <f>D34+D33+D32+D31+D30+D29+D28+D27+D26+D25</f>
        <v>0</v>
      </c>
    </row>
    <row r="36" spans="1:4">
      <c r="A36" s="7">
        <v>103</v>
      </c>
      <c r="B36" s="8" t="s">
        <v>21</v>
      </c>
      <c r="C36" s="16" t="s">
        <v>228</v>
      </c>
      <c r="D36" s="14">
        <f>D8-D35</f>
        <v>31430.834999999999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D34"/>
  <sheetViews>
    <sheetView workbookViewId="0">
      <selection activeCell="D13" sqref="D13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191964.6</v>
      </c>
    </row>
    <row r="7" spans="1:4">
      <c r="A7" s="7">
        <v>2</v>
      </c>
      <c r="B7" s="9" t="s">
        <v>5</v>
      </c>
      <c r="C7" s="16" t="s">
        <v>228</v>
      </c>
      <c r="D7" s="15">
        <f>855*12*14.66</f>
        <v>150411.6</v>
      </c>
    </row>
    <row r="8" spans="1:4">
      <c r="A8" s="7">
        <v>3</v>
      </c>
      <c r="B8" s="9" t="s">
        <v>6</v>
      </c>
      <c r="C8" s="16" t="s">
        <v>228</v>
      </c>
      <c r="D8" s="15">
        <f>855*12*4.05</f>
        <v>41553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855*12*2.29</f>
        <v>23495.4</v>
      </c>
    </row>
    <row r="12" spans="1:4">
      <c r="A12" s="7">
        <v>14</v>
      </c>
      <c r="B12" s="10" t="s">
        <v>11</v>
      </c>
      <c r="C12" s="16" t="s">
        <v>228</v>
      </c>
      <c r="D12" s="15">
        <f>855*12*1.85</f>
        <v>18981</v>
      </c>
    </row>
    <row r="13" spans="1:4">
      <c r="A13" s="7">
        <v>15</v>
      </c>
      <c r="B13" s="10" t="s">
        <v>229</v>
      </c>
      <c r="C13" s="16" t="s">
        <v>228</v>
      </c>
      <c r="D13" s="15">
        <v>25000</v>
      </c>
    </row>
    <row r="14" spans="1:4">
      <c r="A14" s="7">
        <v>16</v>
      </c>
      <c r="B14" s="10" t="s">
        <v>13</v>
      </c>
      <c r="C14" s="16" t="s">
        <v>228</v>
      </c>
      <c r="D14" s="15">
        <f>855*12*2.28</f>
        <v>23392.799999999999</v>
      </c>
    </row>
    <row r="15" spans="1:4">
      <c r="A15" s="7">
        <v>18</v>
      </c>
      <c r="B15" s="10" t="s">
        <v>239</v>
      </c>
      <c r="C15" s="16" t="s">
        <v>228</v>
      </c>
      <c r="D15" s="15">
        <f>855*12*0.37</f>
        <v>3796.2</v>
      </c>
    </row>
    <row r="16" spans="1:4">
      <c r="A16" s="7">
        <v>22</v>
      </c>
      <c r="B16" s="10" t="s">
        <v>16</v>
      </c>
      <c r="C16" s="16" t="s">
        <v>228</v>
      </c>
      <c r="D16" s="15">
        <f>855*12*1.68</f>
        <v>17236.8</v>
      </c>
    </row>
    <row r="17" spans="1:4">
      <c r="A17" s="7">
        <v>23</v>
      </c>
      <c r="B17" s="10" t="s">
        <v>17</v>
      </c>
      <c r="C17" s="16" t="s">
        <v>228</v>
      </c>
      <c r="D17" s="15">
        <f>855*12*2.28</f>
        <v>23392.799999999999</v>
      </c>
    </row>
    <row r="18" spans="1:4">
      <c r="A18" s="7">
        <v>24</v>
      </c>
      <c r="B18" s="10" t="s">
        <v>18</v>
      </c>
      <c r="C18" s="16" t="s">
        <v>228</v>
      </c>
      <c r="D18" s="15">
        <f>855*12*1.19</f>
        <v>12209.4</v>
      </c>
    </row>
    <row r="19" spans="1:4">
      <c r="A19" s="7">
        <v>25</v>
      </c>
      <c r="B19" s="10" t="s">
        <v>19</v>
      </c>
      <c r="C19" s="16" t="s">
        <v>228</v>
      </c>
      <c r="D19" s="15">
        <f>855*12*2.66</f>
        <v>27291.600000000002</v>
      </c>
    </row>
    <row r="20" spans="1:4">
      <c r="A20" s="7">
        <v>26</v>
      </c>
      <c r="B20" s="10" t="s">
        <v>225</v>
      </c>
      <c r="C20" s="16" t="s">
        <v>228</v>
      </c>
      <c r="D20" s="15">
        <f>855*12*0.06</f>
        <v>615.6</v>
      </c>
    </row>
    <row r="21" spans="1:4">
      <c r="A21" s="7">
        <v>27</v>
      </c>
      <c r="B21" s="11" t="s">
        <v>20</v>
      </c>
      <c r="C21" s="16" t="s">
        <v>228</v>
      </c>
      <c r="D21" s="14">
        <f>D20+D19+D18+D17+D16+D15+D14+D13+D12+D11</f>
        <v>175411.6</v>
      </c>
    </row>
    <row r="22" spans="1:4">
      <c r="A22" s="7">
        <v>28</v>
      </c>
      <c r="B22" s="8" t="s">
        <v>21</v>
      </c>
      <c r="C22" s="16" t="s">
        <v>228</v>
      </c>
      <c r="D22" s="14">
        <f>D7-D21</f>
        <v>-25000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35</v>
      </c>
      <c r="B25" s="9" t="s">
        <v>28</v>
      </c>
      <c r="C25" s="16" t="s">
        <v>228</v>
      </c>
      <c r="D25" s="93">
        <v>1500</v>
      </c>
    </row>
    <row r="26" spans="1:4">
      <c r="A26" s="7">
        <v>42</v>
      </c>
      <c r="B26" s="9" t="s">
        <v>35</v>
      </c>
      <c r="C26" s="16" t="s">
        <v>228</v>
      </c>
      <c r="D26" s="93">
        <v>1000</v>
      </c>
    </row>
    <row r="27" spans="1:4">
      <c r="A27" s="7">
        <v>44</v>
      </c>
      <c r="B27" s="9" t="s">
        <v>38</v>
      </c>
      <c r="C27" s="16" t="s">
        <v>228</v>
      </c>
      <c r="D27" s="93"/>
    </row>
    <row r="28" spans="1:4" ht="24">
      <c r="A28" s="7">
        <v>64</v>
      </c>
      <c r="B28" s="12" t="s">
        <v>59</v>
      </c>
      <c r="C28" s="16" t="s">
        <v>228</v>
      </c>
      <c r="D28" s="93"/>
    </row>
    <row r="29" spans="1:4">
      <c r="A29" s="7">
        <v>68</v>
      </c>
      <c r="B29" s="9" t="s">
        <v>63</v>
      </c>
      <c r="C29" s="16" t="s">
        <v>228</v>
      </c>
      <c r="D29" s="93"/>
    </row>
    <row r="30" spans="1:4">
      <c r="A30" s="7"/>
      <c r="B30" s="9" t="s">
        <v>237</v>
      </c>
      <c r="C30" s="16" t="s">
        <v>228</v>
      </c>
      <c r="D30" s="93">
        <v>25000</v>
      </c>
    </row>
    <row r="31" spans="1:4">
      <c r="A31" s="7">
        <v>94</v>
      </c>
      <c r="B31" s="9" t="s">
        <v>92</v>
      </c>
      <c r="C31" s="16" t="s">
        <v>228</v>
      </c>
      <c r="D31" s="84"/>
    </row>
    <row r="32" spans="1:4">
      <c r="A32" s="7">
        <v>97</v>
      </c>
      <c r="B32" s="9" t="s">
        <v>233</v>
      </c>
      <c r="C32" s="16" t="s">
        <v>228</v>
      </c>
      <c r="D32" s="84"/>
    </row>
    <row r="33" spans="1:4">
      <c r="A33" s="7">
        <v>98</v>
      </c>
      <c r="B33" s="8" t="s">
        <v>21</v>
      </c>
      <c r="C33" s="16" t="s">
        <v>228</v>
      </c>
      <c r="D33" s="14">
        <f>D32+D31+D29+D28+D27+D26+D25+D30</f>
        <v>27500</v>
      </c>
    </row>
    <row r="34" spans="1:4">
      <c r="A34" s="7">
        <v>103</v>
      </c>
      <c r="B34" s="8" t="s">
        <v>21</v>
      </c>
      <c r="C34" s="16" t="s">
        <v>228</v>
      </c>
      <c r="D34" s="14">
        <f>D8-D33</f>
        <v>14053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D34"/>
  <sheetViews>
    <sheetView topLeftCell="A4" workbookViewId="0">
      <selection activeCell="G28" sqref="G28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195871.24799999996</v>
      </c>
    </row>
    <row r="7" spans="1:4">
      <c r="A7" s="7">
        <v>2</v>
      </c>
      <c r="B7" s="9" t="s">
        <v>5</v>
      </c>
      <c r="C7" s="16" t="s">
        <v>228</v>
      </c>
      <c r="D7" s="15">
        <f>872.4*12*14.66</f>
        <v>153472.60799999998</v>
      </c>
    </row>
    <row r="8" spans="1:4">
      <c r="A8" s="7">
        <v>3</v>
      </c>
      <c r="B8" s="9" t="s">
        <v>6</v>
      </c>
      <c r="C8" s="16" t="s">
        <v>228</v>
      </c>
      <c r="D8" s="15">
        <f>872.4*12*4.05</f>
        <v>42398.639999999992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872.4*12*2.29</f>
        <v>23973.552</v>
      </c>
    </row>
    <row r="12" spans="1:4">
      <c r="A12" s="7">
        <v>14</v>
      </c>
      <c r="B12" s="10" t="s">
        <v>11</v>
      </c>
      <c r="C12" s="16" t="s">
        <v>228</v>
      </c>
      <c r="D12" s="15">
        <f>872.4*12*1.85</f>
        <v>19367.28</v>
      </c>
    </row>
    <row r="13" spans="1:4">
      <c r="A13" s="7">
        <v>15</v>
      </c>
      <c r="B13" s="10" t="s">
        <v>229</v>
      </c>
      <c r="C13" s="16" t="s">
        <v>228</v>
      </c>
      <c r="D13" s="15">
        <v>25000</v>
      </c>
    </row>
    <row r="14" spans="1:4">
      <c r="A14" s="7">
        <v>16</v>
      </c>
      <c r="B14" s="10" t="s">
        <v>13</v>
      </c>
      <c r="C14" s="16" t="s">
        <v>228</v>
      </c>
      <c r="D14" s="15">
        <f>872.4*12*2.28</f>
        <v>23868.863999999998</v>
      </c>
    </row>
    <row r="15" spans="1:4">
      <c r="A15" s="7">
        <v>18</v>
      </c>
      <c r="B15" s="10" t="s">
        <v>239</v>
      </c>
      <c r="C15" s="16" t="s">
        <v>228</v>
      </c>
      <c r="D15" s="15">
        <f>872.4*12*0.37</f>
        <v>3873.4559999999997</v>
      </c>
    </row>
    <row r="16" spans="1:4">
      <c r="A16" s="7">
        <v>22</v>
      </c>
      <c r="B16" s="10" t="s">
        <v>16</v>
      </c>
      <c r="C16" s="16" t="s">
        <v>228</v>
      </c>
      <c r="D16" s="15">
        <f>872.4*12*1.68</f>
        <v>17587.583999999999</v>
      </c>
    </row>
    <row r="17" spans="1:4">
      <c r="A17" s="7">
        <v>23</v>
      </c>
      <c r="B17" s="10" t="s">
        <v>17</v>
      </c>
      <c r="C17" s="16" t="s">
        <v>228</v>
      </c>
      <c r="D17" s="15">
        <f>872.4*12*2.28</f>
        <v>23868.863999999998</v>
      </c>
    </row>
    <row r="18" spans="1:4">
      <c r="A18" s="7">
        <v>24</v>
      </c>
      <c r="B18" s="10" t="s">
        <v>18</v>
      </c>
      <c r="C18" s="16" t="s">
        <v>228</v>
      </c>
      <c r="D18" s="15">
        <f>872.4*12*1.19</f>
        <v>12457.871999999999</v>
      </c>
    </row>
    <row r="19" spans="1:4">
      <c r="A19" s="7">
        <v>25</v>
      </c>
      <c r="B19" s="10" t="s">
        <v>19</v>
      </c>
      <c r="C19" s="16" t="s">
        <v>228</v>
      </c>
      <c r="D19" s="15">
        <f>872.4*12*2.66</f>
        <v>27847.007999999998</v>
      </c>
    </row>
    <row r="20" spans="1:4">
      <c r="A20" s="7">
        <v>26</v>
      </c>
      <c r="B20" s="10" t="s">
        <v>225</v>
      </c>
      <c r="C20" s="16" t="s">
        <v>228</v>
      </c>
      <c r="D20" s="15">
        <f>872.4*12*0.06</f>
        <v>628.12799999999993</v>
      </c>
    </row>
    <row r="21" spans="1:4">
      <c r="A21" s="7">
        <v>27</v>
      </c>
      <c r="B21" s="11" t="s">
        <v>20</v>
      </c>
      <c r="C21" s="16" t="s">
        <v>228</v>
      </c>
      <c r="D21" s="14">
        <f>D20+D19+D18+D17+D16+D15+D14+D13+D12+D11</f>
        <v>178472.60800000001</v>
      </c>
    </row>
    <row r="22" spans="1:4">
      <c r="A22" s="7">
        <v>28</v>
      </c>
      <c r="B22" s="8" t="s">
        <v>21</v>
      </c>
      <c r="C22" s="16" t="s">
        <v>228</v>
      </c>
      <c r="D22" s="14">
        <f>D7-D21</f>
        <v>-25000.000000000029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33</v>
      </c>
      <c r="B25" s="9" t="s">
        <v>26</v>
      </c>
      <c r="C25" s="16" t="s">
        <v>228</v>
      </c>
      <c r="D25" s="93">
        <v>500</v>
      </c>
    </row>
    <row r="26" spans="1:4">
      <c r="A26" s="7">
        <v>35</v>
      </c>
      <c r="B26" s="9" t="s">
        <v>28</v>
      </c>
      <c r="C26" s="16" t="s">
        <v>228</v>
      </c>
      <c r="D26" s="93"/>
    </row>
    <row r="27" spans="1:4">
      <c r="A27" s="7">
        <v>42</v>
      </c>
      <c r="B27" s="9" t="s">
        <v>35</v>
      </c>
      <c r="C27" s="16" t="s">
        <v>228</v>
      </c>
      <c r="D27" s="93"/>
    </row>
    <row r="28" spans="1:4">
      <c r="A28" s="7">
        <v>68</v>
      </c>
      <c r="B28" s="9" t="s">
        <v>63</v>
      </c>
      <c r="C28" s="16" t="s">
        <v>228</v>
      </c>
      <c r="D28" s="93"/>
    </row>
    <row r="29" spans="1:4">
      <c r="A29" s="7">
        <v>75</v>
      </c>
      <c r="B29" s="9" t="s">
        <v>70</v>
      </c>
      <c r="C29" s="16" t="s">
        <v>228</v>
      </c>
      <c r="D29" s="93"/>
    </row>
    <row r="30" spans="1:4">
      <c r="A30" s="7">
        <v>83</v>
      </c>
      <c r="B30" s="9" t="s">
        <v>80</v>
      </c>
      <c r="C30" s="16" t="s">
        <v>228</v>
      </c>
      <c r="D30" s="93">
        <v>25000</v>
      </c>
    </row>
    <row r="31" spans="1:4">
      <c r="A31" s="7">
        <v>95</v>
      </c>
      <c r="B31" s="9" t="s">
        <v>93</v>
      </c>
      <c r="C31" s="16" t="s">
        <v>228</v>
      </c>
      <c r="D31" s="84"/>
    </row>
    <row r="32" spans="1:4">
      <c r="A32" s="7">
        <v>97</v>
      </c>
      <c r="B32" s="9" t="s">
        <v>233</v>
      </c>
      <c r="C32" s="16" t="s">
        <v>228</v>
      </c>
      <c r="D32" s="84"/>
    </row>
    <row r="33" spans="1:4">
      <c r="A33" s="7">
        <v>98</v>
      </c>
      <c r="B33" s="11" t="s">
        <v>20</v>
      </c>
      <c r="C33" s="16" t="s">
        <v>228</v>
      </c>
      <c r="D33" s="14">
        <f>D32+D31+D30+D29+D28+D27+D26+D25</f>
        <v>25500</v>
      </c>
    </row>
    <row r="34" spans="1:4">
      <c r="A34" s="7">
        <v>103</v>
      </c>
      <c r="B34" s="8" t="s">
        <v>21</v>
      </c>
      <c r="C34" s="16" t="s">
        <v>228</v>
      </c>
      <c r="D34" s="14">
        <f>D8-D33</f>
        <v>16898.639999999992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workbookViewId="0">
      <selection activeCell="D12" sqref="D12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192727.96799999999</v>
      </c>
    </row>
    <row r="7" spans="1:4">
      <c r="A7" s="7">
        <v>2</v>
      </c>
      <c r="B7" s="9" t="s">
        <v>5</v>
      </c>
      <c r="C7" s="16" t="s">
        <v>228</v>
      </c>
      <c r="D7" s="15">
        <f>858.4*12*14.66</f>
        <v>151009.728</v>
      </c>
    </row>
    <row r="8" spans="1:4">
      <c r="A8" s="7">
        <v>3</v>
      </c>
      <c r="B8" s="9" t="s">
        <v>6</v>
      </c>
      <c r="C8" s="16" t="s">
        <v>228</v>
      </c>
      <c r="D8" s="15">
        <f>858.4*12*4.05</f>
        <v>41718.239999999998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858.4*12*2.29</f>
        <v>23588.831999999999</v>
      </c>
    </row>
    <row r="12" spans="1:4">
      <c r="A12" s="7">
        <v>14</v>
      </c>
      <c r="B12" s="10" t="s">
        <v>11</v>
      </c>
      <c r="C12" s="16" t="s">
        <v>228</v>
      </c>
      <c r="D12" s="15">
        <f>858.4*12*1.85</f>
        <v>19056.48</v>
      </c>
    </row>
    <row r="13" spans="1:4">
      <c r="A13" s="7">
        <v>15</v>
      </c>
      <c r="B13" s="10" t="s">
        <v>229</v>
      </c>
      <c r="C13" s="16" t="s">
        <v>228</v>
      </c>
      <c r="D13" s="15">
        <v>25000</v>
      </c>
    </row>
    <row r="14" spans="1:4">
      <c r="A14" s="7">
        <v>16</v>
      </c>
      <c r="B14" s="10" t="s">
        <v>13</v>
      </c>
      <c r="C14" s="16" t="s">
        <v>228</v>
      </c>
      <c r="D14" s="15">
        <f>858.4*12*2.28</f>
        <v>23485.823999999997</v>
      </c>
    </row>
    <row r="15" spans="1:4">
      <c r="A15" s="7">
        <v>18</v>
      </c>
      <c r="B15" s="10" t="s">
        <v>239</v>
      </c>
      <c r="C15" s="16" t="s">
        <v>228</v>
      </c>
      <c r="D15" s="15">
        <f>858.4*12*0.37</f>
        <v>3811.2959999999998</v>
      </c>
    </row>
    <row r="16" spans="1:4">
      <c r="A16" s="7">
        <v>22</v>
      </c>
      <c r="B16" s="10" t="s">
        <v>16</v>
      </c>
      <c r="C16" s="16" t="s">
        <v>228</v>
      </c>
      <c r="D16" s="15">
        <f>858.4*12*1.68</f>
        <v>17305.343999999997</v>
      </c>
    </row>
    <row r="17" spans="1:4">
      <c r="A17" s="7">
        <v>23</v>
      </c>
      <c r="B17" s="10" t="s">
        <v>17</v>
      </c>
      <c r="C17" s="16" t="s">
        <v>228</v>
      </c>
      <c r="D17" s="15">
        <f>858.4*12*2.28</f>
        <v>23485.823999999997</v>
      </c>
    </row>
    <row r="18" spans="1:4">
      <c r="A18" s="7">
        <v>24</v>
      </c>
      <c r="B18" s="10" t="s">
        <v>18</v>
      </c>
      <c r="C18" s="16" t="s">
        <v>228</v>
      </c>
      <c r="D18" s="15">
        <f>858.4*12*1.19</f>
        <v>12257.951999999999</v>
      </c>
    </row>
    <row r="19" spans="1:4">
      <c r="A19" s="7">
        <v>25</v>
      </c>
      <c r="B19" s="10" t="s">
        <v>19</v>
      </c>
      <c r="C19" s="16" t="s">
        <v>228</v>
      </c>
      <c r="D19" s="15">
        <f>858.4*12*2.66</f>
        <v>27400.128000000001</v>
      </c>
    </row>
    <row r="20" spans="1:4">
      <c r="A20" s="7">
        <v>26</v>
      </c>
      <c r="B20" s="10" t="s">
        <v>225</v>
      </c>
      <c r="C20" s="16" t="s">
        <v>228</v>
      </c>
      <c r="D20" s="15">
        <f>858.4*12*0.06</f>
        <v>618.04799999999989</v>
      </c>
    </row>
    <row r="21" spans="1:4">
      <c r="A21" s="7">
        <v>27</v>
      </c>
      <c r="B21" s="11" t="s">
        <v>20</v>
      </c>
      <c r="C21" s="16" t="s">
        <v>228</v>
      </c>
      <c r="D21" s="14">
        <f>D20+D19+D18+D17+D16+D15+D14+D13+D12+D11</f>
        <v>176009.72799999997</v>
      </c>
    </row>
    <row r="22" spans="1:4">
      <c r="A22" s="7">
        <v>28</v>
      </c>
      <c r="B22" s="8" t="s">
        <v>21</v>
      </c>
      <c r="C22" s="16" t="s">
        <v>228</v>
      </c>
      <c r="D22" s="14">
        <f>D7-D21</f>
        <v>-24999.999999999971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84"/>
    </row>
    <row r="26" spans="1:4">
      <c r="A26" s="7">
        <v>33</v>
      </c>
      <c r="B26" s="9" t="s">
        <v>26</v>
      </c>
      <c r="C26" s="16" t="s">
        <v>228</v>
      </c>
      <c r="D26" s="84"/>
    </row>
    <row r="27" spans="1:4">
      <c r="A27" s="7">
        <v>35</v>
      </c>
      <c r="B27" s="9" t="s">
        <v>28</v>
      </c>
      <c r="C27" s="16" t="s">
        <v>228</v>
      </c>
      <c r="D27" s="84"/>
    </row>
    <row r="28" spans="1:4">
      <c r="A28" s="7">
        <v>37</v>
      </c>
      <c r="B28" s="9" t="s">
        <v>30</v>
      </c>
      <c r="C28" s="16" t="s">
        <v>228</v>
      </c>
      <c r="D28" s="84"/>
    </row>
    <row r="29" spans="1:4">
      <c r="A29" s="7">
        <v>42</v>
      </c>
      <c r="B29" s="9" t="s">
        <v>35</v>
      </c>
      <c r="C29" s="16" t="s">
        <v>228</v>
      </c>
      <c r="D29" s="84"/>
    </row>
    <row r="30" spans="1:4" ht="24">
      <c r="A30" s="7">
        <v>64</v>
      </c>
      <c r="B30" s="12" t="s">
        <v>59</v>
      </c>
      <c r="C30" s="16" t="s">
        <v>228</v>
      </c>
      <c r="D30" s="84"/>
    </row>
    <row r="31" spans="1:4">
      <c r="A31" s="7">
        <v>68</v>
      </c>
      <c r="B31" s="9" t="s">
        <v>63</v>
      </c>
      <c r="C31" s="16" t="s">
        <v>228</v>
      </c>
      <c r="D31" s="84"/>
    </row>
    <row r="32" spans="1:4">
      <c r="A32" s="7">
        <v>75</v>
      </c>
      <c r="B32" s="9" t="s">
        <v>70</v>
      </c>
      <c r="C32" s="16" t="s">
        <v>228</v>
      </c>
      <c r="D32" s="84"/>
    </row>
    <row r="33" spans="1:4">
      <c r="A33" s="7">
        <v>83</v>
      </c>
      <c r="B33" s="9" t="s">
        <v>80</v>
      </c>
      <c r="C33" s="16" t="s">
        <v>228</v>
      </c>
      <c r="D33" s="93">
        <v>14000</v>
      </c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</f>
        <v>14000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27718.239999999998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workbookViewId="0">
      <selection activeCell="D14" sqref="D14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143064.144</v>
      </c>
    </row>
    <row r="7" spans="1:4">
      <c r="A7" s="7">
        <v>2</v>
      </c>
      <c r="B7" s="9" t="s">
        <v>5</v>
      </c>
      <c r="C7" s="16" t="s">
        <v>228</v>
      </c>
      <c r="D7" s="15">
        <f>849.6*9*14.66</f>
        <v>112096.224</v>
      </c>
    </row>
    <row r="8" spans="1:4">
      <c r="A8" s="7">
        <v>3</v>
      </c>
      <c r="B8" s="9" t="s">
        <v>6</v>
      </c>
      <c r="C8" s="16" t="s">
        <v>228</v>
      </c>
      <c r="D8" s="15">
        <f>849.6*9*4.05</f>
        <v>30967.920000000002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849.6*9*2.29</f>
        <v>17510.256000000001</v>
      </c>
    </row>
    <row r="12" spans="1:4">
      <c r="A12" s="7">
        <v>14</v>
      </c>
      <c r="B12" s="10" t="s">
        <v>11</v>
      </c>
      <c r="C12" s="16" t="s">
        <v>228</v>
      </c>
      <c r="D12" s="15">
        <f>849.6*9*1.85</f>
        <v>14145.840000000002</v>
      </c>
    </row>
    <row r="13" spans="1:4">
      <c r="A13" s="7">
        <v>15</v>
      </c>
      <c r="B13" s="10" t="s">
        <v>229</v>
      </c>
      <c r="C13" s="16" t="s">
        <v>228</v>
      </c>
      <c r="D13" s="15">
        <v>0</v>
      </c>
    </row>
    <row r="14" spans="1:4">
      <c r="A14" s="7">
        <v>16</v>
      </c>
      <c r="B14" s="10" t="s">
        <v>13</v>
      </c>
      <c r="C14" s="16" t="s">
        <v>228</v>
      </c>
      <c r="D14" s="15">
        <f>849.6*9*2.28</f>
        <v>17433.792000000001</v>
      </c>
    </row>
    <row r="15" spans="1:4">
      <c r="A15" s="7">
        <v>18</v>
      </c>
      <c r="B15" s="10" t="s">
        <v>239</v>
      </c>
      <c r="C15" s="16" t="s">
        <v>228</v>
      </c>
      <c r="D15" s="15">
        <f>849.6*9*0.37</f>
        <v>2829.1680000000001</v>
      </c>
    </row>
    <row r="16" spans="1:4">
      <c r="A16" s="7">
        <v>22</v>
      </c>
      <c r="B16" s="10" t="s">
        <v>16</v>
      </c>
      <c r="C16" s="16" t="s">
        <v>228</v>
      </c>
      <c r="D16" s="15">
        <f>849.6*9*1.68</f>
        <v>12845.952000000001</v>
      </c>
    </row>
    <row r="17" spans="1:4">
      <c r="A17" s="7">
        <v>23</v>
      </c>
      <c r="B17" s="10" t="s">
        <v>17</v>
      </c>
      <c r="C17" s="16" t="s">
        <v>228</v>
      </c>
      <c r="D17" s="15">
        <f>849.6*9*2.28</f>
        <v>17433.792000000001</v>
      </c>
    </row>
    <row r="18" spans="1:4">
      <c r="A18" s="7">
        <v>24</v>
      </c>
      <c r="B18" s="10" t="s">
        <v>18</v>
      </c>
      <c r="C18" s="16" t="s">
        <v>228</v>
      </c>
      <c r="D18" s="15">
        <f>849.6*9*1.119</f>
        <v>8556.3216000000011</v>
      </c>
    </row>
    <row r="19" spans="1:4">
      <c r="A19" s="7">
        <v>25</v>
      </c>
      <c r="B19" s="10" t="s">
        <v>19</v>
      </c>
      <c r="C19" s="16" t="s">
        <v>228</v>
      </c>
      <c r="D19" s="15">
        <f>849.6*9*2.66</f>
        <v>20339.424000000003</v>
      </c>
    </row>
    <row r="20" spans="1:4">
      <c r="A20" s="7">
        <v>26</v>
      </c>
      <c r="B20" s="10" t="s">
        <v>225</v>
      </c>
      <c r="C20" s="16" t="s">
        <v>228</v>
      </c>
      <c r="D20" s="15">
        <f>849.6*9*0.06</f>
        <v>458.78399999999999</v>
      </c>
    </row>
    <row r="21" spans="1:4">
      <c r="A21" s="7">
        <v>27</v>
      </c>
      <c r="B21" s="11" t="s">
        <v>20</v>
      </c>
      <c r="C21" s="16" t="s">
        <v>228</v>
      </c>
      <c r="D21" s="14">
        <f>D20+D19+D18+D17+D16+D15+D14+D13+D12+D11</f>
        <v>111553.3296</v>
      </c>
    </row>
    <row r="22" spans="1:4">
      <c r="A22" s="7">
        <v>28</v>
      </c>
      <c r="B22" s="8" t="s">
        <v>21</v>
      </c>
      <c r="C22" s="16" t="s">
        <v>228</v>
      </c>
      <c r="D22" s="14">
        <f>D7-D21</f>
        <v>542.89440000000468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84"/>
    </row>
    <row r="26" spans="1:4">
      <c r="A26" s="7">
        <v>33</v>
      </c>
      <c r="B26" s="9" t="s">
        <v>26</v>
      </c>
      <c r="C26" s="16" t="s">
        <v>228</v>
      </c>
      <c r="D26" s="84"/>
    </row>
    <row r="27" spans="1:4">
      <c r="A27" s="7">
        <v>35</v>
      </c>
      <c r="B27" s="9" t="s">
        <v>28</v>
      </c>
      <c r="C27" s="16" t="s">
        <v>228</v>
      </c>
      <c r="D27" s="84"/>
    </row>
    <row r="28" spans="1:4">
      <c r="A28" s="7">
        <v>42</v>
      </c>
      <c r="B28" s="9" t="s">
        <v>35</v>
      </c>
      <c r="C28" s="16" t="s">
        <v>228</v>
      </c>
      <c r="D28" s="84"/>
    </row>
    <row r="29" spans="1:4">
      <c r="A29" s="7">
        <v>68</v>
      </c>
      <c r="B29" s="9" t="s">
        <v>63</v>
      </c>
      <c r="C29" s="16" t="s">
        <v>228</v>
      </c>
      <c r="D29" s="84"/>
    </row>
    <row r="30" spans="1:4">
      <c r="A30" s="7">
        <v>75</v>
      </c>
      <c r="B30" s="9" t="s">
        <v>70</v>
      </c>
      <c r="C30" s="16" t="s">
        <v>228</v>
      </c>
      <c r="D30" s="84"/>
    </row>
    <row r="31" spans="1:4">
      <c r="A31" s="7">
        <v>83</v>
      </c>
      <c r="B31" s="9" t="s">
        <v>80</v>
      </c>
      <c r="C31" s="16" t="s">
        <v>228</v>
      </c>
      <c r="D31" s="84"/>
    </row>
    <row r="32" spans="1:4">
      <c r="A32" s="7">
        <v>98</v>
      </c>
      <c r="B32" s="8" t="s">
        <v>21</v>
      </c>
      <c r="C32" s="16" t="s">
        <v>228</v>
      </c>
      <c r="D32" s="14">
        <f>D31+D30+D29+D28+D27+D26+D25</f>
        <v>0</v>
      </c>
    </row>
    <row r="33" spans="1:4">
      <c r="A33" s="7">
        <v>103</v>
      </c>
      <c r="B33" s="8" t="s">
        <v>21</v>
      </c>
      <c r="C33" s="16" t="s">
        <v>228</v>
      </c>
      <c r="D33" s="14">
        <f>D8-D32</f>
        <v>30967.920000000002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D32"/>
  <sheetViews>
    <sheetView workbookViewId="0">
      <selection activeCell="D10" sqref="D10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1"/>
      <c r="B3" s="100"/>
      <c r="C3" s="100"/>
      <c r="D3" s="100"/>
    </row>
    <row r="4" spans="1:4">
      <c r="A4" s="1"/>
      <c r="B4" s="1"/>
      <c r="C4" s="1"/>
      <c r="D4" s="1"/>
    </row>
    <row r="5" spans="1:4">
      <c r="A5" s="5"/>
      <c r="B5" s="101"/>
      <c r="C5" s="101"/>
      <c r="D5" s="101"/>
    </row>
    <row r="6" spans="1:4">
      <c r="A6" s="2"/>
      <c r="B6" s="2"/>
      <c r="C6" s="2"/>
      <c r="D6" s="13"/>
    </row>
    <row r="7" spans="1:4">
      <c r="A7" s="6" t="s">
        <v>0</v>
      </c>
      <c r="B7" s="6" t="s">
        <v>1</v>
      </c>
      <c r="C7" s="6" t="s">
        <v>2</v>
      </c>
      <c r="D7" s="6" t="s">
        <v>3</v>
      </c>
    </row>
    <row r="8" spans="1:4">
      <c r="A8" s="7">
        <v>1</v>
      </c>
      <c r="B8" s="8" t="s">
        <v>242</v>
      </c>
      <c r="C8" s="16" t="s">
        <v>228</v>
      </c>
      <c r="D8" s="14">
        <f>D9+D10</f>
        <v>248947.77599999998</v>
      </c>
    </row>
    <row r="9" spans="1:4">
      <c r="A9" s="7">
        <v>2</v>
      </c>
      <c r="B9" s="9" t="s">
        <v>5</v>
      </c>
      <c r="C9" s="16" t="s">
        <v>228</v>
      </c>
      <c r="D9" s="15">
        <f>14.66*1108.8*12</f>
        <v>195060.09599999999</v>
      </c>
    </row>
    <row r="10" spans="1:4">
      <c r="A10" s="7">
        <v>3</v>
      </c>
      <c r="B10" s="9" t="s">
        <v>6</v>
      </c>
      <c r="C10" s="16" t="s">
        <v>228</v>
      </c>
      <c r="D10" s="15">
        <f>4.05*1108.8*12</f>
        <v>53887.679999999993</v>
      </c>
    </row>
    <row r="11" spans="1:4">
      <c r="A11" s="7">
        <v>10</v>
      </c>
      <c r="B11" s="7"/>
      <c r="C11" s="7"/>
      <c r="D11" s="16"/>
    </row>
    <row r="12" spans="1:4">
      <c r="A12" s="7">
        <v>11</v>
      </c>
      <c r="B12" s="97" t="s">
        <v>9</v>
      </c>
      <c r="C12" s="98"/>
      <c r="D12" s="99"/>
    </row>
    <row r="13" spans="1:4">
      <c r="A13" s="7">
        <v>12</v>
      </c>
      <c r="B13" s="10" t="s">
        <v>10</v>
      </c>
      <c r="C13" s="16" t="s">
        <v>228</v>
      </c>
      <c r="D13" s="15">
        <f>12*1108.8*2.29</f>
        <v>30469.823999999997</v>
      </c>
    </row>
    <row r="14" spans="1:4">
      <c r="A14" s="7">
        <v>14</v>
      </c>
      <c r="B14" s="10" t="s">
        <v>11</v>
      </c>
      <c r="C14" s="16" t="s">
        <v>228</v>
      </c>
      <c r="D14" s="15">
        <f>12*1108.8*1.85</f>
        <v>24615.359999999997</v>
      </c>
    </row>
    <row r="15" spans="1:4">
      <c r="A15" s="7">
        <v>15</v>
      </c>
      <c r="B15" s="10" t="s">
        <v>229</v>
      </c>
      <c r="C15" s="16" t="s">
        <v>228</v>
      </c>
      <c r="D15" s="15">
        <v>25000</v>
      </c>
    </row>
    <row r="16" spans="1:4">
      <c r="A16" s="7">
        <v>16</v>
      </c>
      <c r="B16" s="10" t="s">
        <v>13</v>
      </c>
      <c r="C16" s="16" t="s">
        <v>228</v>
      </c>
      <c r="D16" s="15">
        <f>12*1108.8*2.28</f>
        <v>30336.767999999993</v>
      </c>
    </row>
    <row r="17" spans="1:4">
      <c r="A17" s="7">
        <v>22</v>
      </c>
      <c r="B17" s="10" t="s">
        <v>16</v>
      </c>
      <c r="C17" s="16" t="s">
        <v>228</v>
      </c>
      <c r="D17" s="15">
        <f>12*1108.8*1.68</f>
        <v>22353.407999999996</v>
      </c>
    </row>
    <row r="18" spans="1:4">
      <c r="A18" s="7">
        <v>23</v>
      </c>
      <c r="B18" s="10" t="s">
        <v>17</v>
      </c>
      <c r="C18" s="16" t="s">
        <v>228</v>
      </c>
      <c r="D18" s="15">
        <f>12*1108.8*2.28</f>
        <v>30336.767999999993</v>
      </c>
    </row>
    <row r="19" spans="1:4">
      <c r="A19" s="7">
        <v>24</v>
      </c>
      <c r="B19" s="10" t="s">
        <v>18</v>
      </c>
      <c r="C19" s="16" t="s">
        <v>228</v>
      </c>
      <c r="D19" s="15">
        <f>12*1108.8*1.19</f>
        <v>15833.663999999997</v>
      </c>
    </row>
    <row r="20" spans="1:4">
      <c r="A20" s="7">
        <v>25</v>
      </c>
      <c r="B20" s="10" t="s">
        <v>19</v>
      </c>
      <c r="C20" s="16" t="s">
        <v>228</v>
      </c>
      <c r="D20" s="15">
        <f>12*1108.8*2.66</f>
        <v>35392.896000000001</v>
      </c>
    </row>
    <row r="21" spans="1:4">
      <c r="A21" s="7">
        <v>26</v>
      </c>
      <c r="B21" s="10" t="s">
        <v>225</v>
      </c>
      <c r="C21" s="16" t="s">
        <v>228</v>
      </c>
      <c r="D21" s="15">
        <f>12*1108.8*0.06</f>
        <v>798.3359999999999</v>
      </c>
    </row>
    <row r="22" spans="1:4">
      <c r="A22" s="7"/>
      <c r="B22" s="10" t="s">
        <v>239</v>
      </c>
      <c r="C22" s="16" t="s">
        <v>228</v>
      </c>
      <c r="D22" s="15">
        <f>12*1108.8*0.37</f>
        <v>4923.0719999999992</v>
      </c>
    </row>
    <row r="23" spans="1:4">
      <c r="A23" s="7">
        <v>27</v>
      </c>
      <c r="B23" s="11" t="s">
        <v>20</v>
      </c>
      <c r="C23" s="16" t="s">
        <v>228</v>
      </c>
      <c r="D23" s="14">
        <f>D21+D20+D19+D18+D17+D16+D15+D14+D13</f>
        <v>215137.02399999995</v>
      </c>
    </row>
    <row r="24" spans="1:4">
      <c r="A24" s="7">
        <v>28</v>
      </c>
      <c r="B24" s="8" t="s">
        <v>21</v>
      </c>
      <c r="C24" s="16" t="s">
        <v>228</v>
      </c>
      <c r="D24" s="14">
        <f>D9-D23</f>
        <v>-20076.927999999956</v>
      </c>
    </row>
    <row r="25" spans="1:4">
      <c r="A25" s="7">
        <v>29</v>
      </c>
      <c r="B25" s="97" t="s">
        <v>22</v>
      </c>
      <c r="C25" s="98"/>
      <c r="D25" s="99"/>
    </row>
    <row r="26" spans="1:4">
      <c r="A26" s="7">
        <v>30</v>
      </c>
      <c r="B26" s="8" t="s">
        <v>23</v>
      </c>
      <c r="C26" s="16"/>
      <c r="D26" s="14"/>
    </row>
    <row r="27" spans="1:4">
      <c r="A27" s="7">
        <v>33</v>
      </c>
      <c r="B27" s="9" t="s">
        <v>26</v>
      </c>
      <c r="C27" s="16" t="s">
        <v>228</v>
      </c>
      <c r="D27" s="93"/>
    </row>
    <row r="28" spans="1:4">
      <c r="A28" s="7">
        <v>35</v>
      </c>
      <c r="B28" s="9" t="s">
        <v>28</v>
      </c>
      <c r="C28" s="16" t="s">
        <v>228</v>
      </c>
      <c r="D28" s="93"/>
    </row>
    <row r="29" spans="1:4">
      <c r="A29" s="7">
        <v>60</v>
      </c>
      <c r="B29" s="9" t="s">
        <v>55</v>
      </c>
      <c r="C29" s="16" t="s">
        <v>228</v>
      </c>
      <c r="D29" s="93"/>
    </row>
    <row r="30" spans="1:4">
      <c r="A30" s="7">
        <v>83</v>
      </c>
      <c r="B30" s="9" t="s">
        <v>80</v>
      </c>
      <c r="C30" s="16" t="s">
        <v>228</v>
      </c>
      <c r="D30" s="93"/>
    </row>
    <row r="31" spans="1:4">
      <c r="A31" s="7">
        <v>98</v>
      </c>
      <c r="B31" s="11" t="s">
        <v>20</v>
      </c>
      <c r="C31" s="16" t="s">
        <v>228</v>
      </c>
      <c r="D31" s="14">
        <f>D30+D29+D28+D27</f>
        <v>0</v>
      </c>
    </row>
    <row r="32" spans="1:4">
      <c r="A32" s="7">
        <v>103</v>
      </c>
      <c r="B32" s="8" t="s">
        <v>21</v>
      </c>
      <c r="C32" s="16" t="s">
        <v>228</v>
      </c>
      <c r="D32" s="14">
        <f>D10-D31</f>
        <v>53887.679999999993</v>
      </c>
    </row>
  </sheetData>
  <mergeCells count="5">
    <mergeCell ref="A2:D2"/>
    <mergeCell ref="B3:D3"/>
    <mergeCell ref="B5:D5"/>
    <mergeCell ref="B12:D12"/>
    <mergeCell ref="B25:D25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  <ignoredErrors>
    <ignoredError sqref="D17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D34"/>
  <sheetViews>
    <sheetView workbookViewId="0">
      <selection activeCell="D14" sqref="D14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143518.79699999999</v>
      </c>
    </row>
    <row r="7" spans="1:4">
      <c r="A7" s="7">
        <v>2</v>
      </c>
      <c r="B7" s="9" t="s">
        <v>5</v>
      </c>
      <c r="C7" s="16" t="s">
        <v>228</v>
      </c>
      <c r="D7" s="15">
        <f>852.3*9*14.66</f>
        <v>112452.462</v>
      </c>
    </row>
    <row r="8" spans="1:4">
      <c r="A8" s="7">
        <v>3</v>
      </c>
      <c r="B8" s="9" t="s">
        <v>6</v>
      </c>
      <c r="C8" s="16" t="s">
        <v>228</v>
      </c>
      <c r="D8" s="15">
        <f>852.3*9*4.05</f>
        <v>31066.334999999999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852.3*9*2.29</f>
        <v>17565.902999999998</v>
      </c>
    </row>
    <row r="12" spans="1:4">
      <c r="A12" s="7">
        <v>14</v>
      </c>
      <c r="B12" s="10" t="s">
        <v>11</v>
      </c>
      <c r="C12" s="16" t="s">
        <v>228</v>
      </c>
      <c r="D12" s="15">
        <f>852.3*9*1.85</f>
        <v>14190.795</v>
      </c>
    </row>
    <row r="13" spans="1:4">
      <c r="A13" s="7">
        <v>15</v>
      </c>
      <c r="B13" s="10" t="s">
        <v>229</v>
      </c>
      <c r="C13" s="16" t="s">
        <v>228</v>
      </c>
      <c r="D13" s="15">
        <v>0</v>
      </c>
    </row>
    <row r="14" spans="1:4">
      <c r="A14" s="7">
        <v>16</v>
      </c>
      <c r="B14" s="10" t="s">
        <v>13</v>
      </c>
      <c r="C14" s="16" t="s">
        <v>228</v>
      </c>
      <c r="D14" s="15">
        <f>852.3*9*2.28</f>
        <v>17489.195999999996</v>
      </c>
    </row>
    <row r="15" spans="1:4">
      <c r="A15" s="7">
        <v>18</v>
      </c>
      <c r="B15" s="10" t="s">
        <v>239</v>
      </c>
      <c r="C15" s="16" t="s">
        <v>228</v>
      </c>
      <c r="D15" s="15">
        <f>852.3*9*0.37</f>
        <v>2838.1590000000001</v>
      </c>
    </row>
    <row r="16" spans="1:4">
      <c r="A16" s="7">
        <v>22</v>
      </c>
      <c r="B16" s="10" t="s">
        <v>16</v>
      </c>
      <c r="C16" s="16" t="s">
        <v>228</v>
      </c>
      <c r="D16" s="15">
        <f>852.3*9*1.68</f>
        <v>12886.776</v>
      </c>
    </row>
    <row r="17" spans="1:4">
      <c r="A17" s="7">
        <v>23</v>
      </c>
      <c r="B17" s="10" t="s">
        <v>17</v>
      </c>
      <c r="C17" s="16" t="s">
        <v>228</v>
      </c>
      <c r="D17" s="15">
        <f>852.3*9*2.28</f>
        <v>17489.195999999996</v>
      </c>
    </row>
    <row r="18" spans="1:4">
      <c r="A18" s="7">
        <v>24</v>
      </c>
      <c r="B18" s="10" t="s">
        <v>18</v>
      </c>
      <c r="C18" s="16" t="s">
        <v>228</v>
      </c>
      <c r="D18" s="15">
        <f>852.3*9*1.19</f>
        <v>9128.1329999999998</v>
      </c>
    </row>
    <row r="19" spans="1:4">
      <c r="A19" s="7">
        <v>25</v>
      </c>
      <c r="B19" s="10" t="s">
        <v>19</v>
      </c>
      <c r="C19" s="16" t="s">
        <v>228</v>
      </c>
      <c r="D19" s="15">
        <f>852.3*9*2.66</f>
        <v>20404.062000000002</v>
      </c>
    </row>
    <row r="20" spans="1:4">
      <c r="A20" s="7">
        <v>26</v>
      </c>
      <c r="B20" s="10" t="s">
        <v>225</v>
      </c>
      <c r="C20" s="16" t="s">
        <v>228</v>
      </c>
      <c r="D20" s="15">
        <f>852.3*9*0.06</f>
        <v>460.24199999999996</v>
      </c>
    </row>
    <row r="21" spans="1:4">
      <c r="A21" s="7">
        <v>27</v>
      </c>
      <c r="B21" s="11" t="s">
        <v>20</v>
      </c>
      <c r="C21" s="16" t="s">
        <v>228</v>
      </c>
      <c r="D21" s="14">
        <f>D20+D19+D18+D17+D16+D15+D14+D13+D12+D11</f>
        <v>112452.462</v>
      </c>
    </row>
    <row r="22" spans="1:4">
      <c r="A22" s="7">
        <v>28</v>
      </c>
      <c r="B22" s="8" t="s">
        <v>21</v>
      </c>
      <c r="C22" s="16" t="s">
        <v>228</v>
      </c>
      <c r="D22" s="14">
        <f>D7-D21</f>
        <v>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33</v>
      </c>
      <c r="B25" s="9" t="s">
        <v>26</v>
      </c>
      <c r="C25" s="16" t="s">
        <v>228</v>
      </c>
      <c r="D25" s="84"/>
    </row>
    <row r="26" spans="1:4">
      <c r="A26" s="7">
        <v>44</v>
      </c>
      <c r="B26" s="9" t="s">
        <v>38</v>
      </c>
      <c r="C26" s="16" t="s">
        <v>228</v>
      </c>
      <c r="D26" s="84"/>
    </row>
    <row r="27" spans="1:4">
      <c r="A27" s="7">
        <v>45</v>
      </c>
      <c r="B27" s="9" t="s">
        <v>238</v>
      </c>
      <c r="C27" s="16" t="s">
        <v>228</v>
      </c>
      <c r="D27" s="84"/>
    </row>
    <row r="28" spans="1:4">
      <c r="A28" s="7">
        <v>68</v>
      </c>
      <c r="B28" s="9" t="s">
        <v>63</v>
      </c>
      <c r="C28" s="16" t="s">
        <v>228</v>
      </c>
      <c r="D28" s="84"/>
    </row>
    <row r="29" spans="1:4">
      <c r="A29" s="7">
        <v>76</v>
      </c>
      <c r="B29" s="9" t="s">
        <v>71</v>
      </c>
      <c r="C29" s="16" t="s">
        <v>228</v>
      </c>
      <c r="D29" s="84"/>
    </row>
    <row r="30" spans="1:4">
      <c r="A30" s="7">
        <v>83</v>
      </c>
      <c r="B30" s="9" t="s">
        <v>80</v>
      </c>
      <c r="C30" s="16" t="s">
        <v>228</v>
      </c>
      <c r="D30" s="84"/>
    </row>
    <row r="31" spans="1:4">
      <c r="A31" s="7">
        <v>94</v>
      </c>
      <c r="B31" s="9" t="s">
        <v>92</v>
      </c>
      <c r="C31" s="16" t="s">
        <v>228</v>
      </c>
      <c r="D31" s="84"/>
    </row>
    <row r="32" spans="1:4">
      <c r="A32" s="7">
        <v>97</v>
      </c>
      <c r="B32" s="9" t="s">
        <v>233</v>
      </c>
      <c r="C32" s="16" t="s">
        <v>228</v>
      </c>
      <c r="D32" s="84"/>
    </row>
    <row r="33" spans="1:4">
      <c r="A33" s="7">
        <v>98</v>
      </c>
      <c r="B33" s="11" t="s">
        <v>20</v>
      </c>
      <c r="C33" s="16" t="s">
        <v>228</v>
      </c>
      <c r="D33" s="14">
        <f>D32+D31+D30+D29+D28+D27+D26+D25</f>
        <v>0</v>
      </c>
    </row>
    <row r="34" spans="1:4">
      <c r="A34" s="7">
        <v>103</v>
      </c>
      <c r="B34" s="8" t="s">
        <v>21</v>
      </c>
      <c r="C34" s="16" t="s">
        <v>228</v>
      </c>
      <c r="D34" s="14">
        <f>D8-D33</f>
        <v>31066.334999999999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topLeftCell="A7" workbookViewId="0">
      <selection activeCell="G25" sqref="G25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187137.42</v>
      </c>
    </row>
    <row r="7" spans="1:4">
      <c r="A7" s="7">
        <v>2</v>
      </c>
      <c r="B7" s="9" t="s">
        <v>5</v>
      </c>
      <c r="C7" s="16" t="s">
        <v>228</v>
      </c>
      <c r="D7" s="15">
        <f>833.5*12*14.66</f>
        <v>146629.32</v>
      </c>
    </row>
    <row r="8" spans="1:4">
      <c r="A8" s="7">
        <v>3</v>
      </c>
      <c r="B8" s="9" t="s">
        <v>6</v>
      </c>
      <c r="C8" s="16" t="s">
        <v>228</v>
      </c>
      <c r="D8" s="15">
        <f>833.5*12*4.05</f>
        <v>40508.1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833.5*12*2.29</f>
        <v>22904.58</v>
      </c>
    </row>
    <row r="12" spans="1:4">
      <c r="A12" s="7">
        <v>14</v>
      </c>
      <c r="B12" s="10" t="s">
        <v>11</v>
      </c>
      <c r="C12" s="16" t="s">
        <v>228</v>
      </c>
      <c r="D12" s="15">
        <f>833.5*12*1.85</f>
        <v>18503.7</v>
      </c>
    </row>
    <row r="13" spans="1:4">
      <c r="A13" s="7">
        <v>15</v>
      </c>
      <c r="B13" s="10" t="s">
        <v>229</v>
      </c>
      <c r="C13" s="16" t="s">
        <v>228</v>
      </c>
      <c r="D13" s="15">
        <v>25000</v>
      </c>
    </row>
    <row r="14" spans="1:4">
      <c r="A14" s="7">
        <v>16</v>
      </c>
      <c r="B14" s="10" t="s">
        <v>13</v>
      </c>
      <c r="C14" s="16" t="s">
        <v>228</v>
      </c>
      <c r="D14" s="15">
        <f>833.5*12*2.28</f>
        <v>22804.559999999998</v>
      </c>
    </row>
    <row r="15" spans="1:4">
      <c r="A15" s="7">
        <v>18</v>
      </c>
      <c r="B15" s="10" t="s">
        <v>239</v>
      </c>
      <c r="C15" s="16" t="s">
        <v>228</v>
      </c>
      <c r="D15" s="15">
        <f>833.5*12*0.37</f>
        <v>3700.74</v>
      </c>
    </row>
    <row r="16" spans="1:4">
      <c r="A16" s="7">
        <v>20</v>
      </c>
      <c r="B16" s="10" t="s">
        <v>16</v>
      </c>
      <c r="C16" s="16" t="s">
        <v>228</v>
      </c>
      <c r="D16" s="15">
        <f>833.5*12*1.68</f>
        <v>16803.36</v>
      </c>
    </row>
    <row r="17" spans="1:4">
      <c r="A17" s="7">
        <v>22</v>
      </c>
      <c r="B17" s="10" t="s">
        <v>17</v>
      </c>
      <c r="C17" s="16" t="s">
        <v>228</v>
      </c>
      <c r="D17" s="15">
        <f>833.5*12*2.28</f>
        <v>22804.559999999998</v>
      </c>
    </row>
    <row r="18" spans="1:4">
      <c r="A18" s="7">
        <v>23</v>
      </c>
      <c r="B18" s="10" t="s">
        <v>18</v>
      </c>
      <c r="C18" s="16" t="s">
        <v>228</v>
      </c>
      <c r="D18" s="15">
        <f>833.5*12*1.19</f>
        <v>11902.38</v>
      </c>
    </row>
    <row r="19" spans="1:4">
      <c r="A19" s="7">
        <v>24</v>
      </c>
      <c r="B19" s="10" t="s">
        <v>19</v>
      </c>
      <c r="C19" s="16" t="s">
        <v>228</v>
      </c>
      <c r="D19" s="15">
        <f>833.5*12*2.66</f>
        <v>26605.32</v>
      </c>
    </row>
    <row r="20" spans="1:4">
      <c r="A20" s="7">
        <v>25</v>
      </c>
      <c r="B20" s="10" t="s">
        <v>225</v>
      </c>
      <c r="C20" s="16" t="s">
        <v>228</v>
      </c>
      <c r="D20" s="15">
        <f>833.5*12*0.06</f>
        <v>600.12</v>
      </c>
    </row>
    <row r="21" spans="1:4">
      <c r="A21" s="7">
        <v>26</v>
      </c>
      <c r="B21" s="11" t="s">
        <v>20</v>
      </c>
      <c r="C21" s="16" t="s">
        <v>228</v>
      </c>
      <c r="D21" s="14">
        <f>D20+D19+D18+D17+D16+D15+D14+D13+D12+D11</f>
        <v>171629.32</v>
      </c>
    </row>
    <row r="22" spans="1:4">
      <c r="A22" s="7"/>
      <c r="B22" s="8" t="s">
        <v>21</v>
      </c>
      <c r="C22" s="16" t="s">
        <v>228</v>
      </c>
      <c r="D22" s="14">
        <f>D7-D21</f>
        <v>-25000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15"/>
    </row>
    <row r="26" spans="1:4">
      <c r="A26" s="7">
        <v>33</v>
      </c>
      <c r="B26" s="9" t="s">
        <v>26</v>
      </c>
      <c r="C26" s="16" t="s">
        <v>228</v>
      </c>
      <c r="D26" s="15"/>
    </row>
    <row r="27" spans="1:4">
      <c r="A27" s="7">
        <v>35</v>
      </c>
      <c r="B27" s="9" t="s">
        <v>28</v>
      </c>
      <c r="C27" s="16" t="s">
        <v>228</v>
      </c>
      <c r="D27" s="15"/>
    </row>
    <row r="28" spans="1:4">
      <c r="A28" s="7">
        <v>36</v>
      </c>
      <c r="B28" s="9" t="s">
        <v>29</v>
      </c>
      <c r="C28" s="16" t="s">
        <v>228</v>
      </c>
      <c r="D28" s="15"/>
    </row>
    <row r="29" spans="1:4">
      <c r="A29" s="7">
        <v>42</v>
      </c>
      <c r="B29" s="9" t="s">
        <v>35</v>
      </c>
      <c r="C29" s="16" t="s">
        <v>228</v>
      </c>
      <c r="D29" s="15"/>
    </row>
    <row r="30" spans="1:4">
      <c r="A30" s="7">
        <v>68</v>
      </c>
      <c r="B30" s="9" t="s">
        <v>63</v>
      </c>
      <c r="C30" s="16" t="s">
        <v>228</v>
      </c>
      <c r="D30" s="15"/>
    </row>
    <row r="31" spans="1:4">
      <c r="A31" s="7">
        <v>83</v>
      </c>
      <c r="B31" s="9" t="s">
        <v>80</v>
      </c>
      <c r="C31" s="16" t="s">
        <v>228</v>
      </c>
      <c r="D31" s="15"/>
    </row>
    <row r="32" spans="1:4">
      <c r="A32" s="7">
        <v>94</v>
      </c>
      <c r="B32" s="9" t="s">
        <v>92</v>
      </c>
      <c r="C32" s="16" t="s">
        <v>228</v>
      </c>
      <c r="D32" s="15"/>
    </row>
    <row r="33" spans="1:4">
      <c r="A33" s="7">
        <v>97</v>
      </c>
      <c r="B33" s="9" t="s">
        <v>233</v>
      </c>
      <c r="C33" s="16" t="s">
        <v>228</v>
      </c>
      <c r="D33" s="15"/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</f>
        <v>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40508.1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workbookViewId="0">
      <selection activeCell="D14" sqref="D14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90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46307.25</v>
      </c>
    </row>
    <row r="7" spans="1:4">
      <c r="A7" s="7">
        <v>2</v>
      </c>
      <c r="B7" s="9" t="s">
        <v>5</v>
      </c>
      <c r="C7" s="16" t="s">
        <v>228</v>
      </c>
      <c r="D7" s="15">
        <f>825*3*14.66</f>
        <v>36283.5</v>
      </c>
    </row>
    <row r="8" spans="1:4">
      <c r="A8" s="7">
        <v>3</v>
      </c>
      <c r="B8" s="9" t="s">
        <v>6</v>
      </c>
      <c r="C8" s="16" t="s">
        <v>228</v>
      </c>
      <c r="D8" s="15">
        <f>825*3*4.05</f>
        <v>10023.75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825*3*2.29</f>
        <v>5667.75</v>
      </c>
    </row>
    <row r="12" spans="1:4">
      <c r="A12" s="7">
        <v>14</v>
      </c>
      <c r="B12" s="10" t="s">
        <v>11</v>
      </c>
      <c r="C12" s="16" t="s">
        <v>228</v>
      </c>
      <c r="D12" s="15">
        <f>825*3*1.85</f>
        <v>4578.75</v>
      </c>
    </row>
    <row r="13" spans="1:4">
      <c r="A13" s="7">
        <v>15</v>
      </c>
      <c r="B13" s="10" t="s">
        <v>229</v>
      </c>
      <c r="C13" s="16" t="s">
        <v>228</v>
      </c>
      <c r="D13" s="15">
        <v>0</v>
      </c>
    </row>
    <row r="14" spans="1:4">
      <c r="A14" s="7">
        <v>16</v>
      </c>
      <c r="B14" s="10" t="s">
        <v>13</v>
      </c>
      <c r="C14" s="16" t="s">
        <v>228</v>
      </c>
      <c r="D14" s="15">
        <f>825*3*2.28</f>
        <v>5642.9999999999991</v>
      </c>
    </row>
    <row r="15" spans="1:4">
      <c r="A15" s="7">
        <v>18</v>
      </c>
      <c r="B15" s="10" t="s">
        <v>239</v>
      </c>
      <c r="C15" s="16" t="s">
        <v>228</v>
      </c>
      <c r="D15" s="15">
        <f>825*3*0.37</f>
        <v>915.75</v>
      </c>
    </row>
    <row r="16" spans="1:4">
      <c r="A16" s="7">
        <v>22</v>
      </c>
      <c r="B16" s="10" t="s">
        <v>16</v>
      </c>
      <c r="C16" s="16" t="s">
        <v>228</v>
      </c>
      <c r="D16" s="15">
        <f>825*3*1.68</f>
        <v>4158</v>
      </c>
    </row>
    <row r="17" spans="1:4">
      <c r="A17" s="7">
        <v>23</v>
      </c>
      <c r="B17" s="10" t="s">
        <v>17</v>
      </c>
      <c r="C17" s="16" t="s">
        <v>228</v>
      </c>
      <c r="D17" s="15">
        <f>825*3*2.28</f>
        <v>5642.9999999999991</v>
      </c>
    </row>
    <row r="18" spans="1:4">
      <c r="A18" s="7">
        <v>24</v>
      </c>
      <c r="B18" s="10" t="s">
        <v>18</v>
      </c>
      <c r="C18" s="16" t="s">
        <v>228</v>
      </c>
      <c r="D18" s="15">
        <f>825*3*1.19</f>
        <v>2945.25</v>
      </c>
    </row>
    <row r="19" spans="1:4">
      <c r="A19" s="7">
        <v>25</v>
      </c>
      <c r="B19" s="10" t="s">
        <v>19</v>
      </c>
      <c r="C19" s="16" t="s">
        <v>228</v>
      </c>
      <c r="D19" s="15">
        <f>825*3*2.66</f>
        <v>6583.5</v>
      </c>
    </row>
    <row r="20" spans="1:4">
      <c r="A20" s="7">
        <v>26</v>
      </c>
      <c r="B20" s="10" t="s">
        <v>225</v>
      </c>
      <c r="C20" s="16" t="s">
        <v>228</v>
      </c>
      <c r="D20" s="15">
        <f>825*3*0.06</f>
        <v>148.5</v>
      </c>
    </row>
    <row r="21" spans="1:4">
      <c r="A21" s="7">
        <v>27</v>
      </c>
      <c r="B21" s="11" t="s">
        <v>20</v>
      </c>
      <c r="C21" s="16" t="s">
        <v>228</v>
      </c>
      <c r="D21" s="14">
        <f>D20+D19+D18+D17+D16+D15+D14+D13+D12+D11</f>
        <v>36283.5</v>
      </c>
    </row>
    <row r="22" spans="1:4">
      <c r="A22" s="7">
        <v>28</v>
      </c>
      <c r="B22" s="8" t="s">
        <v>21</v>
      </c>
      <c r="C22" s="16" t="s">
        <v>228</v>
      </c>
      <c r="D22" s="14">
        <f>D7-D21</f>
        <v>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84"/>
    </row>
    <row r="26" spans="1:4">
      <c r="A26" s="7">
        <v>33</v>
      </c>
      <c r="B26" s="9" t="s">
        <v>26</v>
      </c>
      <c r="C26" s="16" t="s">
        <v>228</v>
      </c>
      <c r="D26" s="84"/>
    </row>
    <row r="27" spans="1:4">
      <c r="A27" s="7">
        <v>35</v>
      </c>
      <c r="B27" s="9" t="s">
        <v>28</v>
      </c>
      <c r="C27" s="16" t="s">
        <v>228</v>
      </c>
      <c r="D27" s="84"/>
    </row>
    <row r="28" spans="1:4">
      <c r="A28" s="7">
        <v>36</v>
      </c>
      <c r="B28" s="9" t="s">
        <v>29</v>
      </c>
      <c r="C28" s="16" t="s">
        <v>228</v>
      </c>
      <c r="D28" s="84"/>
    </row>
    <row r="29" spans="1:4">
      <c r="A29" s="7">
        <v>42</v>
      </c>
      <c r="B29" s="9" t="s">
        <v>35</v>
      </c>
      <c r="C29" s="16" t="s">
        <v>228</v>
      </c>
      <c r="D29" s="84"/>
    </row>
    <row r="30" spans="1:4">
      <c r="A30" s="7">
        <v>68</v>
      </c>
      <c r="B30" s="9" t="s">
        <v>63</v>
      </c>
      <c r="C30" s="16" t="s">
        <v>228</v>
      </c>
      <c r="D30" s="84"/>
    </row>
    <row r="31" spans="1:4">
      <c r="A31" s="7">
        <v>83</v>
      </c>
      <c r="B31" s="9" t="s">
        <v>80</v>
      </c>
      <c r="C31" s="16" t="s">
        <v>228</v>
      </c>
      <c r="D31" s="84"/>
    </row>
    <row r="32" spans="1:4">
      <c r="A32" s="7">
        <v>94</v>
      </c>
      <c r="B32" s="9" t="s">
        <v>92</v>
      </c>
      <c r="C32" s="16" t="s">
        <v>228</v>
      </c>
      <c r="D32" s="84"/>
    </row>
    <row r="33" spans="1:4">
      <c r="A33" s="7">
        <v>97</v>
      </c>
      <c r="B33" s="9" t="s">
        <v>233</v>
      </c>
      <c r="C33" s="16" t="s">
        <v>228</v>
      </c>
      <c r="D33" s="84"/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</f>
        <v>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10023.75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workbookViewId="0">
      <selection activeCell="D14" sqref="D14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90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122797.47200000001</v>
      </c>
    </row>
    <row r="7" spans="1:4">
      <c r="A7" s="7">
        <v>2</v>
      </c>
      <c r="B7" s="9" t="s">
        <v>5</v>
      </c>
      <c r="C7" s="16" t="s">
        <v>228</v>
      </c>
      <c r="D7" s="15">
        <f>820.4*8*14.66</f>
        <v>96216.512000000002</v>
      </c>
    </row>
    <row r="8" spans="1:4">
      <c r="A8" s="7">
        <v>3</v>
      </c>
      <c r="B8" s="9" t="s">
        <v>6</v>
      </c>
      <c r="C8" s="16" t="s">
        <v>228</v>
      </c>
      <c r="D8" s="15">
        <f>820.4*8*4.05</f>
        <v>26580.959999999999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820.4*8*2.29</f>
        <v>15029.727999999999</v>
      </c>
    </row>
    <row r="12" spans="1:4">
      <c r="A12" s="7">
        <v>14</v>
      </c>
      <c r="B12" s="10" t="s">
        <v>11</v>
      </c>
      <c r="C12" s="16" t="s">
        <v>228</v>
      </c>
      <c r="D12" s="15">
        <f>820.4*8*1.85</f>
        <v>12141.92</v>
      </c>
    </row>
    <row r="13" spans="1:4">
      <c r="A13" s="7">
        <v>15</v>
      </c>
      <c r="B13" s="10" t="s">
        <v>229</v>
      </c>
      <c r="C13" s="16" t="s">
        <v>228</v>
      </c>
      <c r="D13" s="15">
        <v>0</v>
      </c>
    </row>
    <row r="14" spans="1:4">
      <c r="A14" s="7">
        <v>16</v>
      </c>
      <c r="B14" s="10" t="s">
        <v>13</v>
      </c>
      <c r="C14" s="16" t="s">
        <v>228</v>
      </c>
      <c r="D14" s="15">
        <f>820.4*8*2.28</f>
        <v>14964.095999999998</v>
      </c>
    </row>
    <row r="15" spans="1:4">
      <c r="A15" s="7">
        <v>18</v>
      </c>
      <c r="B15" s="10" t="s">
        <v>239</v>
      </c>
      <c r="C15" s="16" t="s">
        <v>228</v>
      </c>
      <c r="D15" s="15">
        <f>820.4*8*0.37</f>
        <v>2428.384</v>
      </c>
    </row>
    <row r="16" spans="1:4">
      <c r="A16" s="7">
        <v>20</v>
      </c>
      <c r="B16" s="10" t="s">
        <v>16</v>
      </c>
      <c r="C16" s="16" t="s">
        <v>228</v>
      </c>
      <c r="D16" s="15">
        <f>820.4*8*1.68</f>
        <v>11026.175999999999</v>
      </c>
    </row>
    <row r="17" spans="1:4">
      <c r="A17" s="7">
        <v>22</v>
      </c>
      <c r="B17" s="10" t="s">
        <v>17</v>
      </c>
      <c r="C17" s="16" t="s">
        <v>228</v>
      </c>
      <c r="D17" s="15">
        <f>820.4*8*2.28</f>
        <v>14964.095999999998</v>
      </c>
    </row>
    <row r="18" spans="1:4">
      <c r="A18" s="7">
        <v>23</v>
      </c>
      <c r="B18" s="10" t="s">
        <v>18</v>
      </c>
      <c r="C18" s="16" t="s">
        <v>228</v>
      </c>
      <c r="D18" s="15">
        <f>820.4*8*1.19</f>
        <v>7810.2079999999996</v>
      </c>
    </row>
    <row r="19" spans="1:4">
      <c r="A19" s="7">
        <v>24</v>
      </c>
      <c r="B19" s="10" t="s">
        <v>19</v>
      </c>
      <c r="C19" s="16" t="s">
        <v>228</v>
      </c>
      <c r="D19" s="15">
        <f>820.4*8*2.66</f>
        <v>17458.112000000001</v>
      </c>
    </row>
    <row r="20" spans="1:4">
      <c r="A20" s="7">
        <v>25</v>
      </c>
      <c r="B20" s="10" t="s">
        <v>225</v>
      </c>
      <c r="C20" s="16" t="s">
        <v>228</v>
      </c>
      <c r="D20" s="15">
        <f>820.4*8*0.06</f>
        <v>393.79199999999997</v>
      </c>
    </row>
    <row r="21" spans="1:4">
      <c r="A21" s="7">
        <v>26</v>
      </c>
      <c r="B21" s="11" t="s">
        <v>20</v>
      </c>
      <c r="C21" s="16" t="s">
        <v>228</v>
      </c>
      <c r="D21" s="14">
        <f>D20+D19+D18+D17+D16+D15+D14+D13+D12+D11</f>
        <v>96216.512000000002</v>
      </c>
    </row>
    <row r="22" spans="1:4">
      <c r="A22" s="7">
        <v>27</v>
      </c>
      <c r="B22" s="8" t="s">
        <v>21</v>
      </c>
      <c r="C22" s="16" t="s">
        <v>228</v>
      </c>
      <c r="D22" s="14">
        <f>D7-D21</f>
        <v>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15"/>
    </row>
    <row r="26" spans="1:4">
      <c r="A26" s="7">
        <v>33</v>
      </c>
      <c r="B26" s="9" t="s">
        <v>26</v>
      </c>
      <c r="C26" s="16" t="s">
        <v>228</v>
      </c>
      <c r="D26" s="15"/>
    </row>
    <row r="27" spans="1:4">
      <c r="A27" s="7">
        <v>35</v>
      </c>
      <c r="B27" s="9" t="s">
        <v>28</v>
      </c>
      <c r="C27" s="16" t="s">
        <v>228</v>
      </c>
      <c r="D27" s="15"/>
    </row>
    <row r="28" spans="1:4">
      <c r="A28" s="7">
        <v>36</v>
      </c>
      <c r="B28" s="9" t="s">
        <v>29</v>
      </c>
      <c r="C28" s="16" t="s">
        <v>228</v>
      </c>
      <c r="D28" s="15"/>
    </row>
    <row r="29" spans="1:4">
      <c r="A29" s="7">
        <v>42</v>
      </c>
      <c r="B29" s="9" t="s">
        <v>35</v>
      </c>
      <c r="C29" s="16" t="s">
        <v>228</v>
      </c>
      <c r="D29" s="15"/>
    </row>
    <row r="30" spans="1:4">
      <c r="A30" s="7">
        <v>68</v>
      </c>
      <c r="B30" s="9" t="s">
        <v>63</v>
      </c>
      <c r="C30" s="16" t="s">
        <v>228</v>
      </c>
      <c r="D30" s="15"/>
    </row>
    <row r="31" spans="1:4">
      <c r="A31" s="7">
        <v>83</v>
      </c>
      <c r="B31" s="9" t="s">
        <v>80</v>
      </c>
      <c r="C31" s="16" t="s">
        <v>228</v>
      </c>
      <c r="D31" s="15"/>
    </row>
    <row r="32" spans="1:4">
      <c r="A32" s="7">
        <v>94</v>
      </c>
      <c r="B32" s="9" t="s">
        <v>92</v>
      </c>
      <c r="C32" s="16" t="s">
        <v>228</v>
      </c>
      <c r="D32" s="15"/>
    </row>
    <row r="33" spans="1:4">
      <c r="A33" s="7">
        <v>97</v>
      </c>
      <c r="B33" s="9" t="s">
        <v>233</v>
      </c>
      <c r="C33" s="16" t="s">
        <v>228</v>
      </c>
      <c r="D33" s="15"/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</f>
        <v>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26580.959999999999</v>
      </c>
    </row>
  </sheetData>
  <mergeCells count="4">
    <mergeCell ref="B10:D10"/>
    <mergeCell ref="B23:D23"/>
    <mergeCell ref="A2:D2"/>
    <mergeCell ref="B3:D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workbookViewId="0">
      <selection activeCell="D14" sqref="D14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90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123530.90399999999</v>
      </c>
    </row>
    <row r="7" spans="1:4">
      <c r="A7" s="7">
        <v>2</v>
      </c>
      <c r="B7" s="9" t="s">
        <v>5</v>
      </c>
      <c r="C7" s="16" t="s">
        <v>228</v>
      </c>
      <c r="D7" s="15">
        <f>825.3*8*14.66</f>
        <v>96791.183999999994</v>
      </c>
    </row>
    <row r="8" spans="1:4">
      <c r="A8" s="7">
        <v>3</v>
      </c>
      <c r="B8" s="9" t="s">
        <v>6</v>
      </c>
      <c r="C8" s="16" t="s">
        <v>228</v>
      </c>
      <c r="D8" s="15">
        <f>825.3*8*4.05</f>
        <v>26739.719999999998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825.3*8*2.29</f>
        <v>15119.495999999999</v>
      </c>
    </row>
    <row r="12" spans="1:4">
      <c r="A12" s="7">
        <v>14</v>
      </c>
      <c r="B12" s="10" t="s">
        <v>11</v>
      </c>
      <c r="C12" s="16" t="s">
        <v>228</v>
      </c>
      <c r="D12" s="15">
        <f>825.3*8*1.85</f>
        <v>12214.44</v>
      </c>
    </row>
    <row r="13" spans="1:4">
      <c r="A13" s="7">
        <v>15</v>
      </c>
      <c r="B13" s="10" t="s">
        <v>229</v>
      </c>
      <c r="C13" s="16" t="s">
        <v>228</v>
      </c>
      <c r="D13" s="15">
        <v>0</v>
      </c>
    </row>
    <row r="14" spans="1:4">
      <c r="A14" s="7">
        <v>16</v>
      </c>
      <c r="B14" s="10" t="s">
        <v>13</v>
      </c>
      <c r="C14" s="16" t="s">
        <v>228</v>
      </c>
      <c r="D14" s="15">
        <f>825.3*8*2.28</f>
        <v>15053.471999999998</v>
      </c>
    </row>
    <row r="15" spans="1:4">
      <c r="A15" s="7">
        <v>18</v>
      </c>
      <c r="B15" s="10" t="s">
        <v>239</v>
      </c>
      <c r="C15" s="16" t="s">
        <v>228</v>
      </c>
      <c r="D15" s="15">
        <f>825.3*8*0.37</f>
        <v>2442.8879999999999</v>
      </c>
    </row>
    <row r="16" spans="1:4">
      <c r="A16" s="7">
        <v>20</v>
      </c>
      <c r="B16" s="10" t="s">
        <v>16</v>
      </c>
      <c r="C16" s="16" t="s">
        <v>228</v>
      </c>
      <c r="D16" s="15">
        <f>825.3*8*1.68</f>
        <v>11092.031999999999</v>
      </c>
    </row>
    <row r="17" spans="1:4">
      <c r="A17" s="7">
        <v>22</v>
      </c>
      <c r="B17" s="10" t="s">
        <v>17</v>
      </c>
      <c r="C17" s="16" t="s">
        <v>228</v>
      </c>
      <c r="D17" s="15">
        <f>825.3*8*2.28</f>
        <v>15053.471999999998</v>
      </c>
    </row>
    <row r="18" spans="1:4">
      <c r="A18" s="7">
        <v>23</v>
      </c>
      <c r="B18" s="10" t="s">
        <v>18</v>
      </c>
      <c r="C18" s="16" t="s">
        <v>228</v>
      </c>
      <c r="D18" s="15">
        <f>825.3*8*1.19</f>
        <v>7856.8559999999989</v>
      </c>
    </row>
    <row r="19" spans="1:4">
      <c r="A19" s="7">
        <v>24</v>
      </c>
      <c r="B19" s="10" t="s">
        <v>19</v>
      </c>
      <c r="C19" s="16" t="s">
        <v>228</v>
      </c>
      <c r="D19" s="15">
        <f>825.3*8*2.66</f>
        <v>17562.383999999998</v>
      </c>
    </row>
    <row r="20" spans="1:4">
      <c r="A20" s="7">
        <v>25</v>
      </c>
      <c r="B20" s="10" t="s">
        <v>225</v>
      </c>
      <c r="C20" s="16" t="s">
        <v>228</v>
      </c>
      <c r="D20" s="15">
        <f>825.3*8*0.06</f>
        <v>396.14399999999995</v>
      </c>
    </row>
    <row r="21" spans="1:4">
      <c r="A21" s="7">
        <v>26</v>
      </c>
      <c r="B21" s="11" t="s">
        <v>20</v>
      </c>
      <c r="C21" s="16" t="s">
        <v>228</v>
      </c>
      <c r="D21" s="14">
        <f>D20+D19+D18+D17+D16+D15+D14+D13+D12+D11</f>
        <v>96791.183999999994</v>
      </c>
    </row>
    <row r="22" spans="1:4">
      <c r="A22" s="7">
        <v>27</v>
      </c>
      <c r="B22" s="8" t="s">
        <v>21</v>
      </c>
      <c r="C22" s="16" t="s">
        <v>228</v>
      </c>
      <c r="D22" s="14">
        <f>D7-D21</f>
        <v>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15"/>
    </row>
    <row r="26" spans="1:4">
      <c r="A26" s="7">
        <v>33</v>
      </c>
      <c r="B26" s="9" t="s">
        <v>26</v>
      </c>
      <c r="C26" s="16" t="s">
        <v>228</v>
      </c>
      <c r="D26" s="15"/>
    </row>
    <row r="27" spans="1:4">
      <c r="A27" s="7">
        <v>35</v>
      </c>
      <c r="B27" s="9" t="s">
        <v>28</v>
      </c>
      <c r="C27" s="16" t="s">
        <v>228</v>
      </c>
      <c r="D27" s="15"/>
    </row>
    <row r="28" spans="1:4">
      <c r="A28" s="7">
        <v>36</v>
      </c>
      <c r="B28" s="9" t="s">
        <v>29</v>
      </c>
      <c r="C28" s="16" t="s">
        <v>228</v>
      </c>
      <c r="D28" s="15"/>
    </row>
    <row r="29" spans="1:4">
      <c r="A29" s="7">
        <v>42</v>
      </c>
      <c r="B29" s="9" t="s">
        <v>35</v>
      </c>
      <c r="C29" s="16" t="s">
        <v>228</v>
      </c>
      <c r="D29" s="15"/>
    </row>
    <row r="30" spans="1:4">
      <c r="A30" s="7">
        <v>68</v>
      </c>
      <c r="B30" s="9" t="s">
        <v>63</v>
      </c>
      <c r="C30" s="16" t="s">
        <v>228</v>
      </c>
      <c r="D30" s="15"/>
    </row>
    <row r="31" spans="1:4">
      <c r="A31" s="7">
        <v>83</v>
      </c>
      <c r="B31" s="9" t="s">
        <v>80</v>
      </c>
      <c r="C31" s="16" t="s">
        <v>228</v>
      </c>
      <c r="D31" s="15"/>
    </row>
    <row r="32" spans="1:4">
      <c r="A32" s="7">
        <v>94</v>
      </c>
      <c r="B32" s="9" t="s">
        <v>92</v>
      </c>
      <c r="C32" s="16" t="s">
        <v>228</v>
      </c>
      <c r="D32" s="15"/>
    </row>
    <row r="33" spans="1:4">
      <c r="A33" s="7">
        <v>97</v>
      </c>
      <c r="B33" s="9" t="s">
        <v>233</v>
      </c>
      <c r="C33" s="16" t="s">
        <v>228</v>
      </c>
      <c r="D33" s="15"/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</f>
        <v>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26739.719999999998</v>
      </c>
    </row>
  </sheetData>
  <mergeCells count="4">
    <mergeCell ref="B23:D23"/>
    <mergeCell ref="A2:D2"/>
    <mergeCell ref="B3:D3"/>
    <mergeCell ref="B10:D10"/>
  </mergeCell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topLeftCell="A4" workbookViewId="0">
      <selection activeCell="D14" sqref="D14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90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46649.643000000004</v>
      </c>
    </row>
    <row r="7" spans="1:4">
      <c r="A7" s="7">
        <v>2</v>
      </c>
      <c r="B7" s="9" t="s">
        <v>5</v>
      </c>
      <c r="C7" s="16" t="s">
        <v>228</v>
      </c>
      <c r="D7" s="15">
        <f>831.1*3*14.66</f>
        <v>36551.778000000006</v>
      </c>
    </row>
    <row r="8" spans="1:4">
      <c r="A8" s="7">
        <v>3</v>
      </c>
      <c r="B8" s="9" t="s">
        <v>6</v>
      </c>
      <c r="C8" s="16" t="s">
        <v>228</v>
      </c>
      <c r="D8" s="15">
        <f>831.1*3*4.05</f>
        <v>10097.865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831.1*3*2.29</f>
        <v>5709.6570000000002</v>
      </c>
    </row>
    <row r="12" spans="1:4">
      <c r="A12" s="7">
        <v>14</v>
      </c>
      <c r="B12" s="10" t="s">
        <v>11</v>
      </c>
      <c r="C12" s="16" t="s">
        <v>228</v>
      </c>
      <c r="D12" s="15">
        <f>831.1*3*1.85</f>
        <v>4612.6050000000005</v>
      </c>
    </row>
    <row r="13" spans="1:4">
      <c r="A13" s="7">
        <v>15</v>
      </c>
      <c r="B13" s="10" t="s">
        <v>229</v>
      </c>
      <c r="C13" s="16" t="s">
        <v>228</v>
      </c>
      <c r="D13" s="15">
        <v>0</v>
      </c>
    </row>
    <row r="14" spans="1:4">
      <c r="A14" s="7">
        <v>16</v>
      </c>
      <c r="B14" s="10" t="s">
        <v>13</v>
      </c>
      <c r="C14" s="16" t="s">
        <v>228</v>
      </c>
      <c r="D14" s="15">
        <f>831.1*3*2.28</f>
        <v>5684.7240000000002</v>
      </c>
    </row>
    <row r="15" spans="1:4">
      <c r="A15" s="7">
        <v>18</v>
      </c>
      <c r="B15" s="10" t="s">
        <v>239</v>
      </c>
      <c r="C15" s="16" t="s">
        <v>228</v>
      </c>
      <c r="D15" s="15">
        <f>831.1*3*0.37</f>
        <v>922.52100000000007</v>
      </c>
    </row>
    <row r="16" spans="1:4">
      <c r="A16" s="7">
        <v>20</v>
      </c>
      <c r="B16" s="10" t="s">
        <v>16</v>
      </c>
      <c r="C16" s="16" t="s">
        <v>228</v>
      </c>
      <c r="D16" s="15">
        <f>831.1*3*1.68</f>
        <v>4188.7440000000006</v>
      </c>
    </row>
    <row r="17" spans="1:4">
      <c r="A17" s="7">
        <v>22</v>
      </c>
      <c r="B17" s="10" t="s">
        <v>17</v>
      </c>
      <c r="C17" s="16" t="s">
        <v>228</v>
      </c>
      <c r="D17" s="15">
        <f>831.1*3*2.28</f>
        <v>5684.7240000000002</v>
      </c>
    </row>
    <row r="18" spans="1:4">
      <c r="A18" s="7">
        <v>23</v>
      </c>
      <c r="B18" s="10" t="s">
        <v>18</v>
      </c>
      <c r="C18" s="16" t="s">
        <v>228</v>
      </c>
      <c r="D18" s="15">
        <f>831.1*3*1.19</f>
        <v>2967.027</v>
      </c>
    </row>
    <row r="19" spans="1:4">
      <c r="A19" s="7">
        <v>24</v>
      </c>
      <c r="B19" s="10" t="s">
        <v>19</v>
      </c>
      <c r="C19" s="16" t="s">
        <v>228</v>
      </c>
      <c r="D19" s="15">
        <f>831.1*3*2.66</f>
        <v>6632.1780000000008</v>
      </c>
    </row>
    <row r="20" spans="1:4">
      <c r="A20" s="7">
        <v>25</v>
      </c>
      <c r="B20" s="10" t="s">
        <v>225</v>
      </c>
      <c r="C20" s="16" t="s">
        <v>228</v>
      </c>
      <c r="D20" s="15">
        <f>831.1*3*0.06</f>
        <v>149.59800000000001</v>
      </c>
    </row>
    <row r="21" spans="1:4">
      <c r="A21" s="7">
        <v>26</v>
      </c>
      <c r="B21" s="11" t="s">
        <v>20</v>
      </c>
      <c r="C21" s="16" t="s">
        <v>228</v>
      </c>
      <c r="D21" s="14">
        <f>D20+D19+D18+D17+D16+D15+D14+D13+D12+D11</f>
        <v>36551.778000000006</v>
      </c>
    </row>
    <row r="22" spans="1:4">
      <c r="A22" s="7">
        <v>27</v>
      </c>
      <c r="B22" s="8" t="s">
        <v>21</v>
      </c>
      <c r="C22" s="16" t="s">
        <v>228</v>
      </c>
      <c r="D22" s="14">
        <f>D7-D21</f>
        <v>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15"/>
    </row>
    <row r="26" spans="1:4">
      <c r="A26" s="7">
        <v>33</v>
      </c>
      <c r="B26" s="9" t="s">
        <v>26</v>
      </c>
      <c r="C26" s="16" t="s">
        <v>228</v>
      </c>
      <c r="D26" s="15"/>
    </row>
    <row r="27" spans="1:4">
      <c r="A27" s="7">
        <v>35</v>
      </c>
      <c r="B27" s="9" t="s">
        <v>28</v>
      </c>
      <c r="C27" s="16" t="s">
        <v>228</v>
      </c>
      <c r="D27" s="15"/>
    </row>
    <row r="28" spans="1:4">
      <c r="A28" s="7">
        <v>36</v>
      </c>
      <c r="B28" s="9" t="s">
        <v>29</v>
      </c>
      <c r="C28" s="16" t="s">
        <v>228</v>
      </c>
      <c r="D28" s="15"/>
    </row>
    <row r="29" spans="1:4">
      <c r="A29" s="7">
        <v>42</v>
      </c>
      <c r="B29" s="9" t="s">
        <v>35</v>
      </c>
      <c r="C29" s="16" t="s">
        <v>228</v>
      </c>
      <c r="D29" s="15"/>
    </row>
    <row r="30" spans="1:4">
      <c r="A30" s="7">
        <v>68</v>
      </c>
      <c r="B30" s="9" t="s">
        <v>63</v>
      </c>
      <c r="C30" s="16" t="s">
        <v>228</v>
      </c>
      <c r="D30" s="15"/>
    </row>
    <row r="31" spans="1:4">
      <c r="A31" s="7">
        <v>83</v>
      </c>
      <c r="B31" s="9" t="s">
        <v>80</v>
      </c>
      <c r="C31" s="16" t="s">
        <v>228</v>
      </c>
      <c r="D31" s="15"/>
    </row>
    <row r="32" spans="1:4">
      <c r="A32" s="7">
        <v>94</v>
      </c>
      <c r="B32" s="9" t="s">
        <v>92</v>
      </c>
      <c r="C32" s="16" t="s">
        <v>228</v>
      </c>
      <c r="D32" s="15"/>
    </row>
    <row r="33" spans="1:4">
      <c r="A33" s="7">
        <v>97</v>
      </c>
      <c r="B33" s="9" t="s">
        <v>233</v>
      </c>
      <c r="C33" s="16" t="s">
        <v>228</v>
      </c>
      <c r="D33" s="15"/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</f>
        <v>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10097.865</v>
      </c>
    </row>
  </sheetData>
  <mergeCells count="4">
    <mergeCell ref="B23:D23"/>
    <mergeCell ref="A2:D2"/>
    <mergeCell ref="B3:D3"/>
    <mergeCell ref="B10:D10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workbookViewId="0">
      <selection activeCell="D14" sqref="D14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90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46492.478999999992</v>
      </c>
    </row>
    <row r="7" spans="1:4">
      <c r="A7" s="7">
        <v>2</v>
      </c>
      <c r="B7" s="9" t="s">
        <v>5</v>
      </c>
      <c r="C7" s="16" t="s">
        <v>228</v>
      </c>
      <c r="D7" s="15">
        <f>828.3*3*14.66</f>
        <v>36428.633999999998</v>
      </c>
    </row>
    <row r="8" spans="1:4">
      <c r="A8" s="7">
        <v>3</v>
      </c>
      <c r="B8" s="9" t="s">
        <v>6</v>
      </c>
      <c r="C8" s="16" t="s">
        <v>228</v>
      </c>
      <c r="D8" s="15">
        <f>828.3*3*4.05</f>
        <v>10063.844999999998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828.3*3*2.29</f>
        <v>5690.4209999999994</v>
      </c>
    </row>
    <row r="12" spans="1:4">
      <c r="A12" s="7">
        <v>14</v>
      </c>
      <c r="B12" s="10" t="s">
        <v>11</v>
      </c>
      <c r="C12" s="16" t="s">
        <v>228</v>
      </c>
      <c r="D12" s="15">
        <f>828.3*3*1.85</f>
        <v>4597.0649999999996</v>
      </c>
    </row>
    <row r="13" spans="1:4">
      <c r="A13" s="7">
        <v>15</v>
      </c>
      <c r="B13" s="10" t="s">
        <v>229</v>
      </c>
      <c r="C13" s="16" t="s">
        <v>228</v>
      </c>
      <c r="D13" s="15">
        <v>0</v>
      </c>
    </row>
    <row r="14" spans="1:4">
      <c r="A14" s="7">
        <v>16</v>
      </c>
      <c r="B14" s="10" t="s">
        <v>13</v>
      </c>
      <c r="C14" s="16" t="s">
        <v>228</v>
      </c>
      <c r="D14" s="15">
        <f>828.3*3*2.28</f>
        <v>5665.5719999999983</v>
      </c>
    </row>
    <row r="15" spans="1:4">
      <c r="A15" s="7">
        <v>18</v>
      </c>
      <c r="B15" s="10" t="s">
        <v>239</v>
      </c>
      <c r="C15" s="16" t="s">
        <v>228</v>
      </c>
      <c r="D15" s="15">
        <f>828.3*3*0.37</f>
        <v>919.4129999999999</v>
      </c>
    </row>
    <row r="16" spans="1:4">
      <c r="A16" s="7">
        <v>20</v>
      </c>
      <c r="B16" s="10" t="s">
        <v>16</v>
      </c>
      <c r="C16" s="16" t="s">
        <v>228</v>
      </c>
      <c r="D16" s="15">
        <f>828.3*3*1.68</f>
        <v>4174.6319999999996</v>
      </c>
    </row>
    <row r="17" spans="1:4">
      <c r="A17" s="7">
        <v>22</v>
      </c>
      <c r="B17" s="10" t="s">
        <v>17</v>
      </c>
      <c r="C17" s="16" t="s">
        <v>228</v>
      </c>
      <c r="D17" s="15">
        <f>828.3*3*2.28</f>
        <v>5665.5719999999983</v>
      </c>
    </row>
    <row r="18" spans="1:4">
      <c r="A18" s="7">
        <v>23</v>
      </c>
      <c r="B18" s="10" t="s">
        <v>18</v>
      </c>
      <c r="C18" s="16" t="s">
        <v>228</v>
      </c>
      <c r="D18" s="15">
        <f>828.3*3*1.19</f>
        <v>2957.0309999999995</v>
      </c>
    </row>
    <row r="19" spans="1:4">
      <c r="A19" s="7">
        <v>24</v>
      </c>
      <c r="B19" s="10" t="s">
        <v>19</v>
      </c>
      <c r="C19" s="16" t="s">
        <v>228</v>
      </c>
      <c r="D19" s="15">
        <f>828.3*3*2.66</f>
        <v>6609.8339999999998</v>
      </c>
    </row>
    <row r="20" spans="1:4">
      <c r="A20" s="7">
        <v>25</v>
      </c>
      <c r="B20" s="10" t="s">
        <v>225</v>
      </c>
      <c r="C20" s="16" t="s">
        <v>228</v>
      </c>
      <c r="D20" s="15">
        <f>828.3*3*0.06</f>
        <v>149.09399999999997</v>
      </c>
    </row>
    <row r="21" spans="1:4">
      <c r="A21" s="7">
        <v>26</v>
      </c>
      <c r="B21" s="11" t="s">
        <v>20</v>
      </c>
      <c r="C21" s="16" t="s">
        <v>228</v>
      </c>
      <c r="D21" s="14">
        <f>D20+D19+D18+D17+D16+D15+D14+D13+D12+D11</f>
        <v>36428.633999999991</v>
      </c>
    </row>
    <row r="22" spans="1:4">
      <c r="A22" s="7">
        <v>27</v>
      </c>
      <c r="B22" s="8" t="s">
        <v>21</v>
      </c>
      <c r="C22" s="16" t="s">
        <v>228</v>
      </c>
      <c r="D22" s="14">
        <f>D7-D21</f>
        <v>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15">
        <v>2500</v>
      </c>
    </row>
    <row r="26" spans="1:4">
      <c r="A26" s="7">
        <v>33</v>
      </c>
      <c r="B26" s="9" t="s">
        <v>26</v>
      </c>
      <c r="C26" s="16" t="s">
        <v>228</v>
      </c>
      <c r="D26" s="15">
        <v>1000</v>
      </c>
    </row>
    <row r="27" spans="1:4">
      <c r="A27" s="7">
        <v>35</v>
      </c>
      <c r="B27" s="9" t="s">
        <v>28</v>
      </c>
      <c r="C27" s="16" t="s">
        <v>228</v>
      </c>
      <c r="D27" s="15">
        <v>20000</v>
      </c>
    </row>
    <row r="28" spans="1:4">
      <c r="A28" s="7">
        <v>36</v>
      </c>
      <c r="B28" s="9" t="s">
        <v>29</v>
      </c>
      <c r="C28" s="16" t="s">
        <v>228</v>
      </c>
      <c r="D28" s="15">
        <v>33000</v>
      </c>
    </row>
    <row r="29" spans="1:4">
      <c r="A29" s="7">
        <v>42</v>
      </c>
      <c r="B29" s="9" t="s">
        <v>35</v>
      </c>
      <c r="C29" s="16" t="s">
        <v>228</v>
      </c>
      <c r="D29" s="15">
        <v>1200</v>
      </c>
    </row>
    <row r="30" spans="1:4">
      <c r="A30" s="7">
        <v>68</v>
      </c>
      <c r="B30" s="9" t="s">
        <v>63</v>
      </c>
      <c r="C30" s="16" t="s">
        <v>228</v>
      </c>
      <c r="D30" s="15">
        <v>6000</v>
      </c>
    </row>
    <row r="31" spans="1:4">
      <c r="A31" s="7">
        <v>83</v>
      </c>
      <c r="B31" s="9" t="s">
        <v>80</v>
      </c>
      <c r="C31" s="16" t="s">
        <v>228</v>
      </c>
      <c r="D31" s="15">
        <v>28000</v>
      </c>
    </row>
    <row r="32" spans="1:4">
      <c r="A32" s="7">
        <v>94</v>
      </c>
      <c r="B32" s="9" t="s">
        <v>92</v>
      </c>
      <c r="C32" s="16" t="s">
        <v>228</v>
      </c>
      <c r="D32" s="15">
        <v>1500</v>
      </c>
    </row>
    <row r="33" spans="1:4">
      <c r="A33" s="7">
        <v>97</v>
      </c>
      <c r="B33" s="9" t="s">
        <v>233</v>
      </c>
      <c r="C33" s="16" t="s">
        <v>228</v>
      </c>
      <c r="D33" s="15">
        <v>10000</v>
      </c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</f>
        <v>103200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-93136.154999999999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topLeftCell="A7" workbookViewId="0">
      <selection activeCell="D14" sqref="D14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90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46122.021000000008</v>
      </c>
    </row>
    <row r="7" spans="1:4">
      <c r="A7" s="7">
        <v>2</v>
      </c>
      <c r="B7" s="9" t="s">
        <v>5</v>
      </c>
      <c r="C7" s="16" t="s">
        <v>228</v>
      </c>
      <c r="D7" s="15">
        <f>821.7*3*14.66</f>
        <v>36138.366000000009</v>
      </c>
    </row>
    <row r="8" spans="1:4">
      <c r="A8" s="7">
        <v>3</v>
      </c>
      <c r="B8" s="9" t="s">
        <v>6</v>
      </c>
      <c r="C8" s="16" t="s">
        <v>228</v>
      </c>
      <c r="D8" s="15">
        <f>821.7*3*4.05</f>
        <v>9983.6550000000007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821.7*3*2.29</f>
        <v>5645.0790000000006</v>
      </c>
    </row>
    <row r="12" spans="1:4">
      <c r="A12" s="7">
        <v>14</v>
      </c>
      <c r="B12" s="10" t="s">
        <v>11</v>
      </c>
      <c r="C12" s="16" t="s">
        <v>228</v>
      </c>
      <c r="D12" s="15">
        <f>821.7*3*1.85</f>
        <v>4560.4350000000013</v>
      </c>
    </row>
    <row r="13" spans="1:4">
      <c r="A13" s="7">
        <v>15</v>
      </c>
      <c r="B13" s="10" t="s">
        <v>229</v>
      </c>
      <c r="C13" s="16" t="s">
        <v>228</v>
      </c>
      <c r="D13" s="15">
        <v>0</v>
      </c>
    </row>
    <row r="14" spans="1:4">
      <c r="A14" s="7">
        <v>16</v>
      </c>
      <c r="B14" s="10" t="s">
        <v>13</v>
      </c>
      <c r="C14" s="16" t="s">
        <v>228</v>
      </c>
      <c r="D14" s="15">
        <f>821.7*3*2.28</f>
        <v>5620.4280000000008</v>
      </c>
    </row>
    <row r="15" spans="1:4">
      <c r="A15" s="7">
        <v>18</v>
      </c>
      <c r="B15" s="10" t="s">
        <v>239</v>
      </c>
      <c r="C15" s="16" t="s">
        <v>228</v>
      </c>
      <c r="D15" s="15">
        <f>821.7*3*0.37</f>
        <v>912.0870000000001</v>
      </c>
    </row>
    <row r="16" spans="1:4">
      <c r="A16" s="7">
        <v>20</v>
      </c>
      <c r="B16" s="10" t="s">
        <v>16</v>
      </c>
      <c r="C16" s="16" t="s">
        <v>228</v>
      </c>
      <c r="D16" s="15">
        <f>821.7*3*1.68</f>
        <v>4141.3680000000004</v>
      </c>
    </row>
    <row r="17" spans="1:4">
      <c r="A17" s="7">
        <v>22</v>
      </c>
      <c r="B17" s="10" t="s">
        <v>17</v>
      </c>
      <c r="C17" s="16" t="s">
        <v>228</v>
      </c>
      <c r="D17" s="15">
        <f>821.7*3*2.28</f>
        <v>5620.4280000000008</v>
      </c>
    </row>
    <row r="18" spans="1:4">
      <c r="A18" s="7">
        <v>23</v>
      </c>
      <c r="B18" s="10" t="s">
        <v>18</v>
      </c>
      <c r="C18" s="16" t="s">
        <v>228</v>
      </c>
      <c r="D18" s="15">
        <f>821.7*3*1.19</f>
        <v>2933.4690000000005</v>
      </c>
    </row>
    <row r="19" spans="1:4">
      <c r="A19" s="7">
        <v>24</v>
      </c>
      <c r="B19" s="10" t="s">
        <v>19</v>
      </c>
      <c r="C19" s="16" t="s">
        <v>228</v>
      </c>
      <c r="D19" s="15">
        <f>821.7*3*2.66</f>
        <v>6557.1660000000011</v>
      </c>
    </row>
    <row r="20" spans="1:4">
      <c r="A20" s="7">
        <v>25</v>
      </c>
      <c r="B20" s="10" t="s">
        <v>225</v>
      </c>
      <c r="C20" s="16" t="s">
        <v>228</v>
      </c>
      <c r="D20" s="15">
        <f>821.7*3*0.06</f>
        <v>147.90600000000001</v>
      </c>
    </row>
    <row r="21" spans="1:4">
      <c r="A21" s="7">
        <v>26</v>
      </c>
      <c r="B21" s="11" t="s">
        <v>20</v>
      </c>
      <c r="C21" s="16" t="s">
        <v>228</v>
      </c>
      <c r="D21" s="14">
        <f>D20+D19+D18+D17+D16+D15+D14+D13+D12+D11</f>
        <v>36138.366000000002</v>
      </c>
    </row>
    <row r="22" spans="1:4">
      <c r="A22" s="7">
        <v>27</v>
      </c>
      <c r="B22" s="8" t="s">
        <v>21</v>
      </c>
      <c r="C22" s="16" t="s">
        <v>228</v>
      </c>
      <c r="D22" s="14">
        <f>D7-D21</f>
        <v>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15"/>
    </row>
    <row r="26" spans="1:4">
      <c r="A26" s="7">
        <v>33</v>
      </c>
      <c r="B26" s="9" t="s">
        <v>26</v>
      </c>
      <c r="C26" s="16" t="s">
        <v>228</v>
      </c>
      <c r="D26" s="15"/>
    </row>
    <row r="27" spans="1:4">
      <c r="A27" s="7">
        <v>35</v>
      </c>
      <c r="B27" s="9" t="s">
        <v>28</v>
      </c>
      <c r="C27" s="16" t="s">
        <v>228</v>
      </c>
      <c r="D27" s="15"/>
    </row>
    <row r="28" spans="1:4">
      <c r="A28" s="7">
        <v>36</v>
      </c>
      <c r="B28" s="9" t="s">
        <v>29</v>
      </c>
      <c r="C28" s="16" t="s">
        <v>228</v>
      </c>
      <c r="D28" s="15"/>
    </row>
    <row r="29" spans="1:4">
      <c r="A29" s="7">
        <v>42</v>
      </c>
      <c r="B29" s="9" t="s">
        <v>35</v>
      </c>
      <c r="C29" s="16" t="s">
        <v>228</v>
      </c>
      <c r="D29" s="15"/>
    </row>
    <row r="30" spans="1:4">
      <c r="A30" s="7">
        <v>68</v>
      </c>
      <c r="B30" s="9" t="s">
        <v>63</v>
      </c>
      <c r="C30" s="16" t="s">
        <v>228</v>
      </c>
      <c r="D30" s="15"/>
    </row>
    <row r="31" spans="1:4">
      <c r="A31" s="7">
        <v>83</v>
      </c>
      <c r="B31" s="9" t="s">
        <v>80</v>
      </c>
      <c r="C31" s="16" t="s">
        <v>228</v>
      </c>
      <c r="D31" s="15"/>
    </row>
    <row r="32" spans="1:4">
      <c r="A32" s="7">
        <v>94</v>
      </c>
      <c r="B32" s="9" t="s">
        <v>92</v>
      </c>
      <c r="C32" s="16" t="s">
        <v>228</v>
      </c>
      <c r="D32" s="15"/>
    </row>
    <row r="33" spans="1:4">
      <c r="A33" s="7">
        <v>97</v>
      </c>
      <c r="B33" s="9" t="s">
        <v>233</v>
      </c>
      <c r="C33" s="16" t="s">
        <v>228</v>
      </c>
      <c r="D33" s="15"/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</f>
        <v>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9983.6550000000007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workbookViewId="0">
      <selection activeCell="D14" sqref="D14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90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47143.586999999992</v>
      </c>
    </row>
    <row r="7" spans="1:4">
      <c r="A7" s="7">
        <v>2</v>
      </c>
      <c r="B7" s="9" t="s">
        <v>5</v>
      </c>
      <c r="C7" s="16" t="s">
        <v>228</v>
      </c>
      <c r="D7" s="15">
        <f>839.9*3*14.66</f>
        <v>36938.801999999996</v>
      </c>
    </row>
    <row r="8" spans="1:4">
      <c r="A8" s="7">
        <v>3</v>
      </c>
      <c r="B8" s="9" t="s">
        <v>6</v>
      </c>
      <c r="C8" s="16" t="s">
        <v>228</v>
      </c>
      <c r="D8" s="15">
        <f>839.9*3*4.05</f>
        <v>10204.784999999998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839.9*3*2.29</f>
        <v>5770.1129999999994</v>
      </c>
    </row>
    <row r="12" spans="1:4">
      <c r="A12" s="7">
        <v>14</v>
      </c>
      <c r="B12" s="10" t="s">
        <v>11</v>
      </c>
      <c r="C12" s="16" t="s">
        <v>228</v>
      </c>
      <c r="D12" s="15">
        <f>839.9*3*1.85</f>
        <v>4661.4449999999997</v>
      </c>
    </row>
    <row r="13" spans="1:4">
      <c r="A13" s="7">
        <v>15</v>
      </c>
      <c r="B13" s="10" t="s">
        <v>229</v>
      </c>
      <c r="C13" s="16" t="s">
        <v>228</v>
      </c>
      <c r="D13" s="15">
        <v>0</v>
      </c>
    </row>
    <row r="14" spans="1:4">
      <c r="A14" s="7">
        <v>16</v>
      </c>
      <c r="B14" s="10" t="s">
        <v>13</v>
      </c>
      <c r="C14" s="16" t="s">
        <v>228</v>
      </c>
      <c r="D14" s="15">
        <f>839.9*3*2.28</f>
        <v>5744.9159999999993</v>
      </c>
    </row>
    <row r="15" spans="1:4">
      <c r="A15" s="7">
        <v>18</v>
      </c>
      <c r="B15" s="10" t="s">
        <v>239</v>
      </c>
      <c r="C15" s="16" t="s">
        <v>228</v>
      </c>
      <c r="D15" s="15">
        <f>839.9*3*0.37</f>
        <v>932.28899999999987</v>
      </c>
    </row>
    <row r="16" spans="1:4">
      <c r="A16" s="7">
        <v>20</v>
      </c>
      <c r="B16" s="10" t="s">
        <v>16</v>
      </c>
      <c r="C16" s="16" t="s">
        <v>228</v>
      </c>
      <c r="D16" s="15">
        <f>839.9*3*1.68</f>
        <v>4233.0959999999995</v>
      </c>
    </row>
    <row r="17" spans="1:4">
      <c r="A17" s="7">
        <v>22</v>
      </c>
      <c r="B17" s="10" t="s">
        <v>17</v>
      </c>
      <c r="C17" s="16" t="s">
        <v>228</v>
      </c>
      <c r="D17" s="15">
        <f>839.9*3*2.28</f>
        <v>5744.9159999999993</v>
      </c>
    </row>
    <row r="18" spans="1:4">
      <c r="A18" s="7">
        <v>23</v>
      </c>
      <c r="B18" s="10" t="s">
        <v>18</v>
      </c>
      <c r="C18" s="16" t="s">
        <v>228</v>
      </c>
      <c r="D18" s="15">
        <f>839.9*3*1.19</f>
        <v>2998.4429999999998</v>
      </c>
    </row>
    <row r="19" spans="1:4">
      <c r="A19" s="7">
        <v>24</v>
      </c>
      <c r="B19" s="10" t="s">
        <v>19</v>
      </c>
      <c r="C19" s="16" t="s">
        <v>228</v>
      </c>
      <c r="D19" s="15">
        <f>839.9*3*2.66</f>
        <v>6702.402</v>
      </c>
    </row>
    <row r="20" spans="1:4">
      <c r="A20" s="7">
        <v>25</v>
      </c>
      <c r="B20" s="10" t="s">
        <v>225</v>
      </c>
      <c r="C20" s="16" t="s">
        <v>228</v>
      </c>
      <c r="D20" s="15">
        <f>839.9*3*0.06</f>
        <v>151.18199999999999</v>
      </c>
    </row>
    <row r="21" spans="1:4">
      <c r="A21" s="7">
        <v>26</v>
      </c>
      <c r="B21" s="11" t="s">
        <v>20</v>
      </c>
      <c r="C21" s="16" t="s">
        <v>228</v>
      </c>
      <c r="D21" s="14">
        <f>D20+D19+D18+D17+D16+D15+D14+D13+D12+D11</f>
        <v>36938.801999999996</v>
      </c>
    </row>
    <row r="22" spans="1:4">
      <c r="A22" s="7">
        <v>27</v>
      </c>
      <c r="B22" s="8" t="s">
        <v>21</v>
      </c>
      <c r="C22" s="16" t="s">
        <v>228</v>
      </c>
      <c r="D22" s="14">
        <f>D7-D21</f>
        <v>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15"/>
    </row>
    <row r="26" spans="1:4">
      <c r="A26" s="7">
        <v>33</v>
      </c>
      <c r="B26" s="9" t="s">
        <v>26</v>
      </c>
      <c r="C26" s="16" t="s">
        <v>228</v>
      </c>
      <c r="D26" s="15"/>
    </row>
    <row r="27" spans="1:4">
      <c r="A27" s="7">
        <v>35</v>
      </c>
      <c r="B27" s="9" t="s">
        <v>28</v>
      </c>
      <c r="C27" s="16" t="s">
        <v>228</v>
      </c>
      <c r="D27" s="15"/>
    </row>
    <row r="28" spans="1:4">
      <c r="A28" s="7">
        <v>36</v>
      </c>
      <c r="B28" s="9" t="s">
        <v>29</v>
      </c>
      <c r="C28" s="16" t="s">
        <v>228</v>
      </c>
      <c r="D28" s="15"/>
    </row>
    <row r="29" spans="1:4">
      <c r="A29" s="7">
        <v>42</v>
      </c>
      <c r="B29" s="9" t="s">
        <v>35</v>
      </c>
      <c r="C29" s="16" t="s">
        <v>228</v>
      </c>
      <c r="D29" s="15"/>
    </row>
    <row r="30" spans="1:4">
      <c r="A30" s="7">
        <v>68</v>
      </c>
      <c r="B30" s="9" t="s">
        <v>63</v>
      </c>
      <c r="C30" s="16" t="s">
        <v>228</v>
      </c>
      <c r="D30" s="15"/>
    </row>
    <row r="31" spans="1:4">
      <c r="A31" s="7">
        <v>83</v>
      </c>
      <c r="B31" s="9" t="s">
        <v>80</v>
      </c>
      <c r="C31" s="16" t="s">
        <v>228</v>
      </c>
      <c r="D31" s="15"/>
    </row>
    <row r="32" spans="1:4">
      <c r="A32" s="7">
        <v>94</v>
      </c>
      <c r="B32" s="9" t="s">
        <v>92</v>
      </c>
      <c r="C32" s="16" t="s">
        <v>228</v>
      </c>
      <c r="D32" s="15"/>
    </row>
    <row r="33" spans="1:4">
      <c r="A33" s="7">
        <v>97</v>
      </c>
      <c r="B33" s="9" t="s">
        <v>233</v>
      </c>
      <c r="C33" s="16" t="s">
        <v>228</v>
      </c>
      <c r="D33" s="15"/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</f>
        <v>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10204.784999999998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/>
  </sheetPr>
  <dimension ref="A1:F35"/>
  <sheetViews>
    <sheetView workbookViewId="0">
      <selection activeCell="D14" sqref="D14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90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188147.75999999998</v>
      </c>
    </row>
    <row r="7" spans="1:4">
      <c r="A7" s="7">
        <v>2</v>
      </c>
      <c r="B7" s="9" t="s">
        <v>5</v>
      </c>
      <c r="C7" s="16" t="s">
        <v>228</v>
      </c>
      <c r="D7" s="15">
        <f>838*12*14.66</f>
        <v>147420.96</v>
      </c>
    </row>
    <row r="8" spans="1:4">
      <c r="A8" s="7">
        <v>3</v>
      </c>
      <c r="B8" s="9" t="s">
        <v>6</v>
      </c>
      <c r="C8" s="16" t="s">
        <v>228</v>
      </c>
      <c r="D8" s="15">
        <f>838*12*4.05</f>
        <v>40726.799999999996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838*3*2.29</f>
        <v>5757.06</v>
      </c>
    </row>
    <row r="12" spans="1:4">
      <c r="A12" s="7">
        <v>14</v>
      </c>
      <c r="B12" s="10" t="s">
        <v>11</v>
      </c>
      <c r="C12" s="16" t="s">
        <v>228</v>
      </c>
      <c r="D12" s="15">
        <f>838*3*1.85</f>
        <v>4650.9000000000005</v>
      </c>
    </row>
    <row r="13" spans="1:4">
      <c r="A13" s="7">
        <v>15</v>
      </c>
      <c r="B13" s="10" t="s">
        <v>229</v>
      </c>
      <c r="C13" s="16" t="s">
        <v>228</v>
      </c>
      <c r="D13" s="15">
        <v>0</v>
      </c>
    </row>
    <row r="14" spans="1:4">
      <c r="A14" s="7">
        <v>16</v>
      </c>
      <c r="B14" s="10" t="s">
        <v>13</v>
      </c>
      <c r="C14" s="16" t="s">
        <v>228</v>
      </c>
      <c r="D14" s="15">
        <f>838*3*2.28</f>
        <v>5731.9199999999992</v>
      </c>
    </row>
    <row r="15" spans="1:4">
      <c r="A15" s="7">
        <v>18</v>
      </c>
      <c r="B15" s="10" t="s">
        <v>239</v>
      </c>
      <c r="C15" s="16" t="s">
        <v>228</v>
      </c>
      <c r="D15" s="15">
        <f>838*3*0.37</f>
        <v>930.18</v>
      </c>
    </row>
    <row r="16" spans="1:4">
      <c r="A16" s="7">
        <v>20</v>
      </c>
      <c r="B16" s="10" t="s">
        <v>16</v>
      </c>
      <c r="C16" s="16" t="s">
        <v>228</v>
      </c>
      <c r="D16" s="15">
        <f>838*3*1.68</f>
        <v>4223.5199999999995</v>
      </c>
    </row>
    <row r="17" spans="1:6">
      <c r="A17" s="7">
        <v>22</v>
      </c>
      <c r="B17" s="10" t="s">
        <v>17</v>
      </c>
      <c r="C17" s="16" t="s">
        <v>228</v>
      </c>
      <c r="D17" s="15">
        <f>838*3*2.28</f>
        <v>5731.9199999999992</v>
      </c>
    </row>
    <row r="18" spans="1:6">
      <c r="A18" s="7">
        <v>23</v>
      </c>
      <c r="B18" s="10" t="s">
        <v>18</v>
      </c>
      <c r="C18" s="16" t="s">
        <v>228</v>
      </c>
      <c r="D18" s="15">
        <f>838*3*1.19</f>
        <v>2991.66</v>
      </c>
    </row>
    <row r="19" spans="1:6">
      <c r="A19" s="7">
        <v>24</v>
      </c>
      <c r="B19" s="10" t="s">
        <v>19</v>
      </c>
      <c r="C19" s="16" t="s">
        <v>228</v>
      </c>
      <c r="D19" s="15">
        <f>838*3*2.66</f>
        <v>6687.2400000000007</v>
      </c>
    </row>
    <row r="20" spans="1:6">
      <c r="A20" s="7">
        <v>25</v>
      </c>
      <c r="B20" s="10" t="s">
        <v>225</v>
      </c>
      <c r="C20" s="16" t="s">
        <v>228</v>
      </c>
      <c r="D20" s="15">
        <f>838*3*0.06</f>
        <v>150.84</v>
      </c>
    </row>
    <row r="21" spans="1:6">
      <c r="A21" s="7">
        <v>26</v>
      </c>
      <c r="B21" s="11" t="s">
        <v>20</v>
      </c>
      <c r="C21" s="16" t="s">
        <v>228</v>
      </c>
      <c r="D21" s="14">
        <f>D20+D19+D18+D17+D16+D15+D14+D13+D12+D11</f>
        <v>36855.24</v>
      </c>
    </row>
    <row r="22" spans="1:6">
      <c r="A22" s="7">
        <v>27</v>
      </c>
      <c r="B22" s="8" t="s">
        <v>21</v>
      </c>
      <c r="C22" s="16" t="s">
        <v>228</v>
      </c>
      <c r="D22" s="14">
        <f>D7-D21</f>
        <v>110565.72</v>
      </c>
    </row>
    <row r="23" spans="1:6">
      <c r="A23" s="7">
        <v>29</v>
      </c>
      <c r="B23" s="97" t="s">
        <v>22</v>
      </c>
      <c r="C23" s="98"/>
      <c r="D23" s="99"/>
    </row>
    <row r="24" spans="1:6">
      <c r="A24" s="7">
        <v>30</v>
      </c>
      <c r="B24" s="8" t="s">
        <v>23</v>
      </c>
      <c r="C24" s="16" t="s">
        <v>228</v>
      </c>
      <c r="D24" s="14"/>
    </row>
    <row r="25" spans="1:6">
      <c r="A25" s="7">
        <v>31</v>
      </c>
      <c r="B25" s="9" t="s">
        <v>24</v>
      </c>
      <c r="C25" s="16" t="s">
        <v>228</v>
      </c>
      <c r="D25" s="15"/>
    </row>
    <row r="26" spans="1:6">
      <c r="A26" s="7">
        <v>33</v>
      </c>
      <c r="B26" s="9" t="s">
        <v>26</v>
      </c>
      <c r="C26" s="16" t="s">
        <v>228</v>
      </c>
      <c r="D26" s="15"/>
    </row>
    <row r="27" spans="1:6">
      <c r="A27" s="7">
        <v>35</v>
      </c>
      <c r="B27" s="9" t="s">
        <v>28</v>
      </c>
      <c r="C27" s="16" t="s">
        <v>228</v>
      </c>
      <c r="D27" s="15"/>
    </row>
    <row r="28" spans="1:6">
      <c r="A28" s="7">
        <v>36</v>
      </c>
      <c r="B28" s="9" t="s">
        <v>29</v>
      </c>
      <c r="C28" s="16" t="s">
        <v>228</v>
      </c>
      <c r="D28" s="15"/>
    </row>
    <row r="29" spans="1:6">
      <c r="A29" s="7">
        <v>42</v>
      </c>
      <c r="B29" s="9" t="s">
        <v>35</v>
      </c>
      <c r="C29" s="16" t="s">
        <v>228</v>
      </c>
      <c r="D29" s="15"/>
    </row>
    <row r="30" spans="1:6">
      <c r="A30" s="7">
        <v>68</v>
      </c>
      <c r="B30" s="9" t="s">
        <v>63</v>
      </c>
      <c r="C30" s="16" t="s">
        <v>228</v>
      </c>
      <c r="D30" s="15"/>
      <c r="F30" s="128"/>
    </row>
    <row r="31" spans="1:6">
      <c r="A31" s="7">
        <v>83</v>
      </c>
      <c r="B31" s="9" t="s">
        <v>80</v>
      </c>
      <c r="C31" s="16" t="s">
        <v>228</v>
      </c>
      <c r="D31" s="15"/>
    </row>
    <row r="32" spans="1:6">
      <c r="A32" s="7">
        <v>94</v>
      </c>
      <c r="B32" s="9" t="s">
        <v>92</v>
      </c>
      <c r="C32" s="16" t="s">
        <v>228</v>
      </c>
      <c r="D32" s="15"/>
    </row>
    <row r="33" spans="1:4">
      <c r="A33" s="7">
        <v>97</v>
      </c>
      <c r="B33" s="9" t="s">
        <v>233</v>
      </c>
      <c r="C33" s="16" t="s">
        <v>228</v>
      </c>
      <c r="D33" s="15"/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</f>
        <v>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40726.799999999996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32"/>
  <sheetViews>
    <sheetView workbookViewId="0">
      <selection activeCell="A3" sqref="A3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1"/>
      <c r="B3" s="100"/>
      <c r="C3" s="100"/>
      <c r="D3" s="100"/>
    </row>
    <row r="4" spans="1:4">
      <c r="A4" s="1"/>
      <c r="B4" s="1"/>
      <c r="C4" s="1"/>
      <c r="D4" s="1"/>
    </row>
    <row r="5" spans="1:4">
      <c r="A5" s="5"/>
      <c r="B5" s="101"/>
      <c r="C5" s="101"/>
      <c r="D5" s="101"/>
    </row>
    <row r="6" spans="1:4">
      <c r="A6" s="2"/>
      <c r="B6" s="2"/>
      <c r="C6" s="2"/>
      <c r="D6" s="13"/>
    </row>
    <row r="7" spans="1:4">
      <c r="A7" s="6" t="s">
        <v>0</v>
      </c>
      <c r="B7" s="6" t="s">
        <v>1</v>
      </c>
      <c r="C7" s="6" t="s">
        <v>2</v>
      </c>
      <c r="D7" s="6" t="s">
        <v>3</v>
      </c>
    </row>
    <row r="8" spans="1:4">
      <c r="A8" s="7">
        <v>1</v>
      </c>
      <c r="B8" s="8" t="s">
        <v>242</v>
      </c>
      <c r="C8" s="16" t="s">
        <v>228</v>
      </c>
      <c r="D8" s="14">
        <f>D9+D10</f>
        <v>140903.12399999998</v>
      </c>
    </row>
    <row r="9" spans="1:4">
      <c r="A9" s="7">
        <v>2</v>
      </c>
      <c r="B9" s="9" t="s">
        <v>5</v>
      </c>
      <c r="C9" s="16" t="s">
        <v>228</v>
      </c>
      <c r="D9" s="15">
        <f>796.9*14.66*12</f>
        <v>140190.64799999999</v>
      </c>
    </row>
    <row r="10" spans="1:4">
      <c r="A10" s="7">
        <v>3</v>
      </c>
      <c r="B10" s="9" t="s">
        <v>6</v>
      </c>
      <c r="C10" s="16" t="s">
        <v>228</v>
      </c>
      <c r="D10" s="15">
        <f>14.66*4.05*12</f>
        <v>712.476</v>
      </c>
    </row>
    <row r="11" spans="1:4">
      <c r="A11" s="7">
        <v>10</v>
      </c>
      <c r="B11" s="7"/>
      <c r="C11" s="7"/>
      <c r="D11" s="16"/>
    </row>
    <row r="12" spans="1:4">
      <c r="A12" s="7">
        <v>11</v>
      </c>
      <c r="B12" s="97" t="s">
        <v>9</v>
      </c>
      <c r="C12" s="98"/>
      <c r="D12" s="99"/>
    </row>
    <row r="13" spans="1:4">
      <c r="A13" s="7">
        <v>12</v>
      </c>
      <c r="B13" s="10" t="s">
        <v>10</v>
      </c>
      <c r="C13" s="16" t="s">
        <v>228</v>
      </c>
      <c r="D13" s="15">
        <f>12*796.9*2.29</f>
        <v>21898.811999999998</v>
      </c>
    </row>
    <row r="14" spans="1:4">
      <c r="A14" s="7">
        <v>14</v>
      </c>
      <c r="B14" s="10" t="s">
        <v>11</v>
      </c>
      <c r="C14" s="16" t="s">
        <v>228</v>
      </c>
      <c r="D14" s="15">
        <f>12*796.9*1.85</f>
        <v>17691.18</v>
      </c>
    </row>
    <row r="15" spans="1:4">
      <c r="A15" s="7">
        <v>15</v>
      </c>
      <c r="B15" s="10" t="s">
        <v>229</v>
      </c>
      <c r="C15" s="16" t="s">
        <v>228</v>
      </c>
      <c r="D15" s="15">
        <v>25000</v>
      </c>
    </row>
    <row r="16" spans="1:4">
      <c r="A16" s="7">
        <v>16</v>
      </c>
      <c r="B16" s="10" t="s">
        <v>13</v>
      </c>
      <c r="C16" s="16" t="s">
        <v>228</v>
      </c>
      <c r="D16" s="15">
        <f>12*796.9*2.28</f>
        <v>21803.183999999997</v>
      </c>
    </row>
    <row r="17" spans="1:4">
      <c r="A17" s="7">
        <v>22</v>
      </c>
      <c r="B17" s="10" t="s">
        <v>16</v>
      </c>
      <c r="C17" s="16" t="s">
        <v>228</v>
      </c>
      <c r="D17" s="15">
        <f>12*796.9*1.68</f>
        <v>16065.503999999999</v>
      </c>
    </row>
    <row r="18" spans="1:4">
      <c r="A18" s="7">
        <v>23</v>
      </c>
      <c r="B18" s="10" t="s">
        <v>17</v>
      </c>
      <c r="C18" s="16" t="s">
        <v>228</v>
      </c>
      <c r="D18" s="15">
        <f>12*796.9*2.28</f>
        <v>21803.183999999997</v>
      </c>
    </row>
    <row r="19" spans="1:4">
      <c r="A19" s="7">
        <v>24</v>
      </c>
      <c r="B19" s="10" t="s">
        <v>18</v>
      </c>
      <c r="C19" s="16" t="s">
        <v>228</v>
      </c>
      <c r="D19" s="15">
        <f>12*796.9*1.19</f>
        <v>11379.731999999998</v>
      </c>
    </row>
    <row r="20" spans="1:4">
      <c r="A20" s="7">
        <v>25</v>
      </c>
      <c r="B20" s="10" t="s">
        <v>19</v>
      </c>
      <c r="C20" s="16" t="s">
        <v>228</v>
      </c>
      <c r="D20" s="15">
        <f>12*796.9*2.66</f>
        <v>25437.047999999999</v>
      </c>
    </row>
    <row r="21" spans="1:4">
      <c r="A21" s="7">
        <v>26</v>
      </c>
      <c r="B21" s="10" t="s">
        <v>225</v>
      </c>
      <c r="C21" s="16" t="s">
        <v>228</v>
      </c>
      <c r="D21" s="15">
        <f>12*796.9*0.06</f>
        <v>573.76799999999992</v>
      </c>
    </row>
    <row r="22" spans="1:4">
      <c r="A22" s="7"/>
      <c r="B22" s="10" t="s">
        <v>239</v>
      </c>
      <c r="C22" s="16" t="s">
        <v>228</v>
      </c>
      <c r="D22" s="15">
        <f>12*796.9*0.37</f>
        <v>3538.2359999999999</v>
      </c>
    </row>
    <row r="23" spans="1:4">
      <c r="A23" s="7">
        <v>27</v>
      </c>
      <c r="B23" s="11" t="s">
        <v>20</v>
      </c>
      <c r="C23" s="16" t="s">
        <v>228</v>
      </c>
      <c r="D23" s="14">
        <f>D21+D20+D19+D18+D17+D16+D15+D14+D13+D22</f>
        <v>165190.64799999999</v>
      </c>
    </row>
    <row r="24" spans="1:4">
      <c r="A24" s="7">
        <v>28</v>
      </c>
      <c r="B24" s="8" t="s">
        <v>21</v>
      </c>
      <c r="C24" s="16" t="s">
        <v>228</v>
      </c>
      <c r="D24" s="14">
        <f>D9-D23</f>
        <v>-25000</v>
      </c>
    </row>
    <row r="25" spans="1:4">
      <c r="A25" s="7">
        <v>29</v>
      </c>
      <c r="B25" s="97" t="s">
        <v>22</v>
      </c>
      <c r="C25" s="98"/>
      <c r="D25" s="99"/>
    </row>
    <row r="26" spans="1:4">
      <c r="A26" s="7">
        <v>30</v>
      </c>
      <c r="B26" s="8" t="s">
        <v>23</v>
      </c>
      <c r="C26" s="16"/>
      <c r="D26" s="14"/>
    </row>
    <row r="27" spans="1:4">
      <c r="A27" s="7">
        <v>35</v>
      </c>
      <c r="B27" s="9" t="s">
        <v>28</v>
      </c>
      <c r="C27" s="16" t="s">
        <v>228</v>
      </c>
      <c r="D27" s="93"/>
    </row>
    <row r="28" spans="1:4">
      <c r="A28" s="7">
        <v>44</v>
      </c>
      <c r="B28" s="9" t="s">
        <v>38</v>
      </c>
      <c r="C28" s="16" t="s">
        <v>228</v>
      </c>
      <c r="D28" s="93"/>
    </row>
    <row r="29" spans="1:4" ht="24">
      <c r="A29" s="7">
        <v>64</v>
      </c>
      <c r="B29" s="12" t="s">
        <v>59</v>
      </c>
      <c r="C29" s="16" t="s">
        <v>228</v>
      </c>
      <c r="D29" s="93"/>
    </row>
    <row r="30" spans="1:4">
      <c r="A30" s="7">
        <v>83</v>
      </c>
      <c r="B30" s="9" t="s">
        <v>80</v>
      </c>
      <c r="C30" s="16" t="s">
        <v>228</v>
      </c>
      <c r="D30" s="93"/>
    </row>
    <row r="31" spans="1:4">
      <c r="A31" s="7">
        <v>98</v>
      </c>
      <c r="B31" s="11" t="s">
        <v>20</v>
      </c>
      <c r="C31" s="16" t="s">
        <v>228</v>
      </c>
      <c r="D31" s="14">
        <f>D30+D29+D28+D27</f>
        <v>0</v>
      </c>
    </row>
    <row r="32" spans="1:4">
      <c r="A32" s="7">
        <v>103</v>
      </c>
      <c r="B32" s="8" t="s">
        <v>21</v>
      </c>
      <c r="C32" s="16" t="s">
        <v>228</v>
      </c>
      <c r="D32" s="14">
        <f>D10-D31</f>
        <v>712.476</v>
      </c>
    </row>
  </sheetData>
  <mergeCells count="5">
    <mergeCell ref="A2:D2"/>
    <mergeCell ref="B3:D3"/>
    <mergeCell ref="B5:D5"/>
    <mergeCell ref="B12:D12"/>
    <mergeCell ref="B25:D25"/>
  </mergeCells>
  <dataValidations disablePrompts="1"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topLeftCell="A7" workbookViewId="0">
      <selection activeCell="D14" sqref="D14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90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141597.28</v>
      </c>
    </row>
    <row r="7" spans="1:4">
      <c r="A7" s="7">
        <v>2</v>
      </c>
      <c r="B7" s="9" t="s">
        <v>5</v>
      </c>
      <c r="C7" s="16" t="s">
        <v>228</v>
      </c>
      <c r="D7" s="15">
        <f>946*8*14.66</f>
        <v>110946.88</v>
      </c>
    </row>
    <row r="8" spans="1:4">
      <c r="A8" s="7">
        <v>3</v>
      </c>
      <c r="B8" s="9" t="s">
        <v>6</v>
      </c>
      <c r="C8" s="16" t="s">
        <v>228</v>
      </c>
      <c r="D8" s="15">
        <f>946*8*4.05</f>
        <v>30650.399999999998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946*8*2.29</f>
        <v>17330.72</v>
      </c>
    </row>
    <row r="12" spans="1:4">
      <c r="A12" s="7">
        <v>14</v>
      </c>
      <c r="B12" s="10" t="s">
        <v>11</v>
      </c>
      <c r="C12" s="16" t="s">
        <v>228</v>
      </c>
      <c r="D12" s="15">
        <f>946*8*1.85</f>
        <v>14000.800000000001</v>
      </c>
    </row>
    <row r="13" spans="1:4">
      <c r="A13" s="7">
        <v>15</v>
      </c>
      <c r="B13" s="10" t="s">
        <v>229</v>
      </c>
      <c r="C13" s="16" t="s">
        <v>228</v>
      </c>
      <c r="D13" s="15">
        <v>0</v>
      </c>
    </row>
    <row r="14" spans="1:4">
      <c r="A14" s="7">
        <v>16</v>
      </c>
      <c r="B14" s="10" t="s">
        <v>13</v>
      </c>
      <c r="C14" s="16" t="s">
        <v>228</v>
      </c>
      <c r="D14" s="15">
        <f>946*8*2.28</f>
        <v>17255.039999999997</v>
      </c>
    </row>
    <row r="15" spans="1:4">
      <c r="A15" s="7">
        <v>18</v>
      </c>
      <c r="B15" s="10" t="s">
        <v>239</v>
      </c>
      <c r="C15" s="16" t="s">
        <v>228</v>
      </c>
      <c r="D15" s="15">
        <f>946*8*0.37</f>
        <v>2800.16</v>
      </c>
    </row>
    <row r="16" spans="1:4">
      <c r="A16" s="7">
        <v>20</v>
      </c>
      <c r="B16" s="10" t="s">
        <v>16</v>
      </c>
      <c r="C16" s="16" t="s">
        <v>228</v>
      </c>
      <c r="D16" s="15">
        <f>946*8*1.68</f>
        <v>12714.24</v>
      </c>
    </row>
    <row r="17" spans="1:4">
      <c r="A17" s="7">
        <v>22</v>
      </c>
      <c r="B17" s="10" t="s">
        <v>17</v>
      </c>
      <c r="C17" s="16" t="s">
        <v>228</v>
      </c>
      <c r="D17" s="15">
        <f>946*8*2.28</f>
        <v>17255.039999999997</v>
      </c>
    </row>
    <row r="18" spans="1:4">
      <c r="A18" s="7">
        <v>23</v>
      </c>
      <c r="B18" s="10" t="s">
        <v>18</v>
      </c>
      <c r="C18" s="16" t="s">
        <v>228</v>
      </c>
      <c r="D18" s="15">
        <f>946*8*1.19</f>
        <v>9005.92</v>
      </c>
    </row>
    <row r="19" spans="1:4">
      <c r="A19" s="7">
        <v>24</v>
      </c>
      <c r="B19" s="10" t="s">
        <v>19</v>
      </c>
      <c r="C19" s="16" t="s">
        <v>228</v>
      </c>
      <c r="D19" s="15">
        <f>946*8*2.66</f>
        <v>20130.88</v>
      </c>
    </row>
    <row r="20" spans="1:4">
      <c r="A20" s="7">
        <v>25</v>
      </c>
      <c r="B20" s="10" t="s">
        <v>225</v>
      </c>
      <c r="C20" s="16" t="s">
        <v>228</v>
      </c>
      <c r="D20" s="15">
        <f>946*8*0.06</f>
        <v>454.08</v>
      </c>
    </row>
    <row r="21" spans="1:4">
      <c r="A21" s="7">
        <v>26</v>
      </c>
      <c r="B21" s="11" t="s">
        <v>20</v>
      </c>
      <c r="C21" s="16" t="s">
        <v>228</v>
      </c>
      <c r="D21" s="14">
        <f>D20+D19+D18+D17+D16+D15+D14+D13+D12+D11</f>
        <v>110946.87999999999</v>
      </c>
    </row>
    <row r="22" spans="1:4">
      <c r="A22" s="7">
        <v>27</v>
      </c>
      <c r="B22" s="8" t="s">
        <v>21</v>
      </c>
      <c r="C22" s="16" t="s">
        <v>228</v>
      </c>
      <c r="D22" s="14">
        <f>D7-D21</f>
        <v>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15"/>
    </row>
    <row r="26" spans="1:4">
      <c r="A26" s="7">
        <v>33</v>
      </c>
      <c r="B26" s="9" t="s">
        <v>26</v>
      </c>
      <c r="C26" s="16" t="s">
        <v>228</v>
      </c>
      <c r="D26" s="15"/>
    </row>
    <row r="27" spans="1:4">
      <c r="A27" s="7">
        <v>35</v>
      </c>
      <c r="B27" s="9" t="s">
        <v>28</v>
      </c>
      <c r="C27" s="16" t="s">
        <v>228</v>
      </c>
      <c r="D27" s="15"/>
    </row>
    <row r="28" spans="1:4">
      <c r="A28" s="7">
        <v>36</v>
      </c>
      <c r="B28" s="9" t="s">
        <v>29</v>
      </c>
      <c r="C28" s="16" t="s">
        <v>228</v>
      </c>
      <c r="D28" s="15"/>
    </row>
    <row r="29" spans="1:4">
      <c r="A29" s="7">
        <v>42</v>
      </c>
      <c r="B29" s="9" t="s">
        <v>35</v>
      </c>
      <c r="C29" s="16" t="s">
        <v>228</v>
      </c>
      <c r="D29" s="15"/>
    </row>
    <row r="30" spans="1:4">
      <c r="A30" s="7">
        <v>68</v>
      </c>
      <c r="B30" s="9" t="s">
        <v>63</v>
      </c>
      <c r="C30" s="16" t="s">
        <v>228</v>
      </c>
      <c r="D30" s="15"/>
    </row>
    <row r="31" spans="1:4">
      <c r="A31" s="7">
        <v>83</v>
      </c>
      <c r="B31" s="9" t="s">
        <v>80</v>
      </c>
      <c r="C31" s="16" t="s">
        <v>228</v>
      </c>
      <c r="D31" s="15"/>
    </row>
    <row r="32" spans="1:4">
      <c r="A32" s="7">
        <v>94</v>
      </c>
      <c r="B32" s="9" t="s">
        <v>92</v>
      </c>
      <c r="C32" s="16" t="s">
        <v>228</v>
      </c>
      <c r="D32" s="15"/>
    </row>
    <row r="33" spans="1:4">
      <c r="A33" s="7">
        <v>97</v>
      </c>
      <c r="B33" s="9" t="s">
        <v>233</v>
      </c>
      <c r="C33" s="16" t="s">
        <v>228</v>
      </c>
      <c r="D33" s="15"/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</f>
        <v>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30650.399999999998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workbookViewId="0">
      <selection activeCell="D14" sqref="D14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90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45319.361999999994</v>
      </c>
    </row>
    <row r="7" spans="1:4">
      <c r="A7" s="7">
        <v>2</v>
      </c>
      <c r="B7" s="9" t="s">
        <v>5</v>
      </c>
      <c r="C7" s="16" t="s">
        <v>228</v>
      </c>
      <c r="D7" s="15">
        <f>807.4*3*14.66</f>
        <v>35509.451999999997</v>
      </c>
    </row>
    <row r="8" spans="1:4">
      <c r="A8" s="7">
        <v>3</v>
      </c>
      <c r="B8" s="9" t="s">
        <v>6</v>
      </c>
      <c r="C8" s="16" t="s">
        <v>228</v>
      </c>
      <c r="D8" s="15">
        <f>807.4*3*4.05</f>
        <v>9809.909999999998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807.4*3*2.29</f>
        <v>5546.8379999999997</v>
      </c>
    </row>
    <row r="12" spans="1:4">
      <c r="A12" s="7">
        <v>14</v>
      </c>
      <c r="B12" s="10" t="s">
        <v>11</v>
      </c>
      <c r="C12" s="16" t="s">
        <v>228</v>
      </c>
      <c r="D12" s="15">
        <f>807.4*3*1.85</f>
        <v>4481.07</v>
      </c>
    </row>
    <row r="13" spans="1:4">
      <c r="A13" s="7">
        <v>15</v>
      </c>
      <c r="B13" s="10" t="s">
        <v>229</v>
      </c>
      <c r="C13" s="16" t="s">
        <v>228</v>
      </c>
      <c r="D13" s="15">
        <v>0</v>
      </c>
    </row>
    <row r="14" spans="1:4">
      <c r="A14" s="7">
        <v>16</v>
      </c>
      <c r="B14" s="10" t="s">
        <v>13</v>
      </c>
      <c r="C14" s="16" t="s">
        <v>228</v>
      </c>
      <c r="D14" s="15">
        <f>807.4*3*2.28</f>
        <v>5522.6159999999991</v>
      </c>
    </row>
    <row r="15" spans="1:4">
      <c r="A15" s="7">
        <v>18</v>
      </c>
      <c r="B15" s="10" t="s">
        <v>239</v>
      </c>
      <c r="C15" s="16" t="s">
        <v>228</v>
      </c>
      <c r="D15" s="15">
        <f>807.4*3*0.37</f>
        <v>896.21399999999994</v>
      </c>
    </row>
    <row r="16" spans="1:4">
      <c r="A16" s="7">
        <v>20</v>
      </c>
      <c r="B16" s="10" t="s">
        <v>16</v>
      </c>
      <c r="C16" s="16" t="s">
        <v>228</v>
      </c>
      <c r="D16" s="15">
        <f>807.4*3*1.68</f>
        <v>4069.2959999999994</v>
      </c>
    </row>
    <row r="17" spans="1:4">
      <c r="A17" s="7">
        <v>22</v>
      </c>
      <c r="B17" s="10" t="s">
        <v>17</v>
      </c>
      <c r="C17" s="16" t="s">
        <v>228</v>
      </c>
      <c r="D17" s="15">
        <f>807.4*3*2.28</f>
        <v>5522.6159999999991</v>
      </c>
    </row>
    <row r="18" spans="1:4">
      <c r="A18" s="7">
        <v>23</v>
      </c>
      <c r="B18" s="10" t="s">
        <v>18</v>
      </c>
      <c r="C18" s="16" t="s">
        <v>228</v>
      </c>
      <c r="D18" s="15">
        <f>807.4*3*1.19</f>
        <v>2882.4179999999997</v>
      </c>
    </row>
    <row r="19" spans="1:4">
      <c r="A19" s="7">
        <v>24</v>
      </c>
      <c r="B19" s="10" t="s">
        <v>19</v>
      </c>
      <c r="C19" s="16" t="s">
        <v>228</v>
      </c>
      <c r="D19" s="15">
        <f>807.4*3*2.66</f>
        <v>6443.0519999999997</v>
      </c>
    </row>
    <row r="20" spans="1:4">
      <c r="A20" s="7">
        <v>25</v>
      </c>
      <c r="B20" s="10" t="s">
        <v>225</v>
      </c>
      <c r="C20" s="16" t="s">
        <v>228</v>
      </c>
      <c r="D20" s="15">
        <f>807.4*3*0.06</f>
        <v>145.33199999999999</v>
      </c>
    </row>
    <row r="21" spans="1:4">
      <c r="A21" s="7">
        <v>26</v>
      </c>
      <c r="B21" s="11" t="s">
        <v>20</v>
      </c>
      <c r="C21" s="16" t="s">
        <v>228</v>
      </c>
      <c r="D21" s="14">
        <f>D20+D19+D18+D17+D16+D15+D14+D13+D12+D11</f>
        <v>35509.45199999999</v>
      </c>
    </row>
    <row r="22" spans="1:4">
      <c r="A22" s="7">
        <v>27</v>
      </c>
      <c r="B22" s="8" t="s">
        <v>21</v>
      </c>
      <c r="C22" s="16" t="s">
        <v>228</v>
      </c>
      <c r="D22" s="14">
        <f>D7-D21</f>
        <v>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15"/>
    </row>
    <row r="26" spans="1:4">
      <c r="A26" s="7">
        <v>33</v>
      </c>
      <c r="B26" s="9" t="s">
        <v>26</v>
      </c>
      <c r="C26" s="16" t="s">
        <v>228</v>
      </c>
      <c r="D26" s="15"/>
    </row>
    <row r="27" spans="1:4">
      <c r="A27" s="7">
        <v>35</v>
      </c>
      <c r="B27" s="9" t="s">
        <v>28</v>
      </c>
      <c r="C27" s="16" t="s">
        <v>228</v>
      </c>
      <c r="D27" s="15"/>
    </row>
    <row r="28" spans="1:4">
      <c r="A28" s="7">
        <v>36</v>
      </c>
      <c r="B28" s="9" t="s">
        <v>29</v>
      </c>
      <c r="C28" s="16" t="s">
        <v>228</v>
      </c>
      <c r="D28" s="15"/>
    </row>
    <row r="29" spans="1:4">
      <c r="A29" s="7">
        <v>42</v>
      </c>
      <c r="B29" s="9" t="s">
        <v>35</v>
      </c>
      <c r="C29" s="16" t="s">
        <v>228</v>
      </c>
      <c r="D29" s="15"/>
    </row>
    <row r="30" spans="1:4">
      <c r="A30" s="7">
        <v>68</v>
      </c>
      <c r="B30" s="9" t="s">
        <v>63</v>
      </c>
      <c r="C30" s="16" t="s">
        <v>228</v>
      </c>
      <c r="D30" s="15"/>
    </row>
    <row r="31" spans="1:4">
      <c r="A31" s="7">
        <v>83</v>
      </c>
      <c r="B31" s="9" t="s">
        <v>80</v>
      </c>
      <c r="C31" s="16" t="s">
        <v>228</v>
      </c>
      <c r="D31" s="15"/>
    </row>
    <row r="32" spans="1:4">
      <c r="A32" s="7">
        <v>94</v>
      </c>
      <c r="B32" s="9" t="s">
        <v>92</v>
      </c>
      <c r="C32" s="16" t="s">
        <v>228</v>
      </c>
      <c r="D32" s="15"/>
    </row>
    <row r="33" spans="1:4">
      <c r="A33" s="7">
        <v>97</v>
      </c>
      <c r="B33" s="9" t="s">
        <v>233</v>
      </c>
      <c r="C33" s="16" t="s">
        <v>228</v>
      </c>
      <c r="D33" s="15"/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</f>
        <v>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9809.909999999998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topLeftCell="A4" workbookViewId="0">
      <selection activeCell="D14" sqref="D14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90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122468.17600000001</v>
      </c>
    </row>
    <row r="7" spans="1:4">
      <c r="A7" s="7">
        <v>2</v>
      </c>
      <c r="B7" s="9" t="s">
        <v>5</v>
      </c>
      <c r="C7" s="16" t="s">
        <v>228</v>
      </c>
      <c r="D7" s="15">
        <f>818.2*8*14.66</f>
        <v>95958.495999999999</v>
      </c>
    </row>
    <row r="8" spans="1:4">
      <c r="A8" s="7">
        <v>3</v>
      </c>
      <c r="B8" s="9" t="s">
        <v>6</v>
      </c>
      <c r="C8" s="16" t="s">
        <v>228</v>
      </c>
      <c r="D8" s="15">
        <f>818.2*8*4.05</f>
        <v>26509.68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818.2*8*2.29</f>
        <v>14989.424000000001</v>
      </c>
    </row>
    <row r="12" spans="1:4">
      <c r="A12" s="7">
        <v>14</v>
      </c>
      <c r="B12" s="10" t="s">
        <v>11</v>
      </c>
      <c r="C12" s="16" t="s">
        <v>228</v>
      </c>
      <c r="D12" s="15">
        <f>818.2*8*1.85</f>
        <v>12109.36</v>
      </c>
    </row>
    <row r="13" spans="1:4">
      <c r="A13" s="7">
        <v>15</v>
      </c>
      <c r="B13" s="10" t="s">
        <v>229</v>
      </c>
      <c r="C13" s="16" t="s">
        <v>228</v>
      </c>
      <c r="D13" s="15">
        <v>0</v>
      </c>
    </row>
    <row r="14" spans="1:4">
      <c r="A14" s="7">
        <v>16</v>
      </c>
      <c r="B14" s="10" t="s">
        <v>13</v>
      </c>
      <c r="C14" s="16" t="s">
        <v>228</v>
      </c>
      <c r="D14" s="15">
        <f>818.2*8*2.28</f>
        <v>14923.967999999999</v>
      </c>
    </row>
    <row r="15" spans="1:4">
      <c r="A15" s="7">
        <v>18</v>
      </c>
      <c r="B15" s="10" t="s">
        <v>239</v>
      </c>
      <c r="C15" s="16" t="s">
        <v>228</v>
      </c>
      <c r="D15" s="15">
        <f>818.2*8*0.37</f>
        <v>2421.8720000000003</v>
      </c>
    </row>
    <row r="16" spans="1:4">
      <c r="A16" s="7">
        <v>20</v>
      </c>
      <c r="B16" s="10" t="s">
        <v>16</v>
      </c>
      <c r="C16" s="16" t="s">
        <v>228</v>
      </c>
      <c r="D16" s="15">
        <f>818.2*8*1.68</f>
        <v>10996.608</v>
      </c>
    </row>
    <row r="17" spans="1:4">
      <c r="A17" s="7">
        <v>22</v>
      </c>
      <c r="B17" s="10" t="s">
        <v>17</v>
      </c>
      <c r="C17" s="16" t="s">
        <v>228</v>
      </c>
      <c r="D17" s="15">
        <f>818.2*8*2.28</f>
        <v>14923.967999999999</v>
      </c>
    </row>
    <row r="18" spans="1:4">
      <c r="A18" s="7">
        <v>23</v>
      </c>
      <c r="B18" s="10" t="s">
        <v>18</v>
      </c>
      <c r="C18" s="16" t="s">
        <v>228</v>
      </c>
      <c r="D18" s="15">
        <f>818.2*8*1.19</f>
        <v>7789.2640000000001</v>
      </c>
    </row>
    <row r="19" spans="1:4">
      <c r="A19" s="7">
        <v>24</v>
      </c>
      <c r="B19" s="10" t="s">
        <v>19</v>
      </c>
      <c r="C19" s="16" t="s">
        <v>228</v>
      </c>
      <c r="D19" s="15">
        <f>818.2*8*2.66</f>
        <v>17411.296000000002</v>
      </c>
    </row>
    <row r="20" spans="1:4">
      <c r="A20" s="7">
        <v>25</v>
      </c>
      <c r="B20" s="10" t="s">
        <v>225</v>
      </c>
      <c r="C20" s="16" t="s">
        <v>228</v>
      </c>
      <c r="D20" s="15">
        <f>818.2*8*0.06</f>
        <v>392.73599999999999</v>
      </c>
    </row>
    <row r="21" spans="1:4">
      <c r="A21" s="7">
        <v>26</v>
      </c>
      <c r="B21" s="11" t="s">
        <v>20</v>
      </c>
      <c r="C21" s="16" t="s">
        <v>228</v>
      </c>
      <c r="D21" s="14">
        <f>D20+D19+D18+D17+D16+D15+D14+D13+D12+D11</f>
        <v>95958.495999999999</v>
      </c>
    </row>
    <row r="22" spans="1:4">
      <c r="A22" s="7">
        <v>27</v>
      </c>
      <c r="B22" s="8" t="s">
        <v>21</v>
      </c>
      <c r="C22" s="16" t="s">
        <v>228</v>
      </c>
      <c r="D22" s="14">
        <f>D7-D21</f>
        <v>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15"/>
    </row>
    <row r="26" spans="1:4">
      <c r="A26" s="7">
        <v>33</v>
      </c>
      <c r="B26" s="9" t="s">
        <v>26</v>
      </c>
      <c r="C26" s="16" t="s">
        <v>228</v>
      </c>
      <c r="D26" s="15"/>
    </row>
    <row r="27" spans="1:4">
      <c r="A27" s="7">
        <v>35</v>
      </c>
      <c r="B27" s="9" t="s">
        <v>28</v>
      </c>
      <c r="C27" s="16" t="s">
        <v>228</v>
      </c>
      <c r="D27" s="15"/>
    </row>
    <row r="28" spans="1:4">
      <c r="A28" s="7">
        <v>36</v>
      </c>
      <c r="B28" s="9" t="s">
        <v>29</v>
      </c>
      <c r="C28" s="16" t="s">
        <v>228</v>
      </c>
      <c r="D28" s="15"/>
    </row>
    <row r="29" spans="1:4">
      <c r="A29" s="7">
        <v>42</v>
      </c>
      <c r="B29" s="9" t="s">
        <v>35</v>
      </c>
      <c r="C29" s="16" t="s">
        <v>228</v>
      </c>
      <c r="D29" s="15"/>
    </row>
    <row r="30" spans="1:4">
      <c r="A30" s="7">
        <v>68</v>
      </c>
      <c r="B30" s="9" t="s">
        <v>63</v>
      </c>
      <c r="C30" s="16" t="s">
        <v>228</v>
      </c>
      <c r="D30" s="15"/>
    </row>
    <row r="31" spans="1:4">
      <c r="A31" s="7">
        <v>83</v>
      </c>
      <c r="B31" s="9" t="s">
        <v>80</v>
      </c>
      <c r="C31" s="16" t="s">
        <v>228</v>
      </c>
      <c r="D31" s="15"/>
    </row>
    <row r="32" spans="1:4">
      <c r="A32" s="7">
        <v>94</v>
      </c>
      <c r="B32" s="9" t="s">
        <v>92</v>
      </c>
      <c r="C32" s="16" t="s">
        <v>228</v>
      </c>
      <c r="D32" s="15"/>
    </row>
    <row r="33" spans="1:4">
      <c r="A33" s="7">
        <v>97</v>
      </c>
      <c r="B33" s="9" t="s">
        <v>233</v>
      </c>
      <c r="C33" s="16" t="s">
        <v>228</v>
      </c>
      <c r="D33" s="15"/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</f>
        <v>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26509.68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workbookViewId="0">
      <selection activeCell="D14" sqref="D14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9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46638.416999999994</v>
      </c>
    </row>
    <row r="7" spans="1:4">
      <c r="A7" s="7">
        <v>2</v>
      </c>
      <c r="B7" s="9" t="s">
        <v>5</v>
      </c>
      <c r="C7" s="16" t="s">
        <v>228</v>
      </c>
      <c r="D7" s="15">
        <f>830.9*3*14.66</f>
        <v>36542.981999999996</v>
      </c>
    </row>
    <row r="8" spans="1:4">
      <c r="A8" s="7">
        <v>3</v>
      </c>
      <c r="B8" s="9" t="s">
        <v>6</v>
      </c>
      <c r="C8" s="16" t="s">
        <v>228</v>
      </c>
      <c r="D8" s="15">
        <f>830.9*3*4.05</f>
        <v>10095.434999999999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830.9*3*2.29</f>
        <v>5708.2829999999994</v>
      </c>
    </row>
    <row r="12" spans="1:4">
      <c r="A12" s="7">
        <v>14</v>
      </c>
      <c r="B12" s="10" t="s">
        <v>11</v>
      </c>
      <c r="C12" s="16" t="s">
        <v>228</v>
      </c>
      <c r="D12" s="15">
        <f>830.9*3*1.85</f>
        <v>4611.4949999999999</v>
      </c>
    </row>
    <row r="13" spans="1:4">
      <c r="A13" s="7">
        <v>15</v>
      </c>
      <c r="B13" s="10" t="s">
        <v>229</v>
      </c>
      <c r="C13" s="16" t="s">
        <v>228</v>
      </c>
      <c r="D13" s="15">
        <v>0</v>
      </c>
    </row>
    <row r="14" spans="1:4">
      <c r="A14" s="7">
        <v>16</v>
      </c>
      <c r="B14" s="10" t="s">
        <v>13</v>
      </c>
      <c r="C14" s="16" t="s">
        <v>228</v>
      </c>
      <c r="D14" s="15">
        <f>830.9*3*2.28</f>
        <v>5683.3559999999989</v>
      </c>
    </row>
    <row r="15" spans="1:4">
      <c r="A15" s="7">
        <v>18</v>
      </c>
      <c r="B15" s="10" t="s">
        <v>239</v>
      </c>
      <c r="C15" s="16" t="s">
        <v>228</v>
      </c>
      <c r="D15" s="15">
        <f>830.9*3*0.37</f>
        <v>922.29899999999998</v>
      </c>
    </row>
    <row r="16" spans="1:4">
      <c r="A16" s="7">
        <v>20</v>
      </c>
      <c r="B16" s="10" t="s">
        <v>16</v>
      </c>
      <c r="C16" s="16" t="s">
        <v>228</v>
      </c>
      <c r="D16" s="15">
        <f>830.9*3*1.68</f>
        <v>4187.7359999999999</v>
      </c>
    </row>
    <row r="17" spans="1:4">
      <c r="A17" s="7">
        <v>22</v>
      </c>
      <c r="B17" s="10" t="s">
        <v>17</v>
      </c>
      <c r="C17" s="16" t="s">
        <v>228</v>
      </c>
      <c r="D17" s="15">
        <f>830.9*3*2.28</f>
        <v>5683.3559999999989</v>
      </c>
    </row>
    <row r="18" spans="1:4">
      <c r="A18" s="7">
        <v>23</v>
      </c>
      <c r="B18" s="10" t="s">
        <v>18</v>
      </c>
      <c r="C18" s="16" t="s">
        <v>228</v>
      </c>
      <c r="D18" s="15">
        <f>830.9*3*1.19</f>
        <v>2966.3129999999996</v>
      </c>
    </row>
    <row r="19" spans="1:4">
      <c r="A19" s="7">
        <v>24</v>
      </c>
      <c r="B19" s="10" t="s">
        <v>19</v>
      </c>
      <c r="C19" s="16" t="s">
        <v>228</v>
      </c>
      <c r="D19" s="15">
        <f>830.9*3*2.66</f>
        <v>6630.5819999999994</v>
      </c>
    </row>
    <row r="20" spans="1:4">
      <c r="A20" s="7">
        <v>25</v>
      </c>
      <c r="B20" s="10" t="s">
        <v>225</v>
      </c>
      <c r="C20" s="16" t="s">
        <v>228</v>
      </c>
      <c r="D20" s="15">
        <f>830.9*3*0.06</f>
        <v>149.56199999999998</v>
      </c>
    </row>
    <row r="21" spans="1:4">
      <c r="A21" s="7">
        <v>26</v>
      </c>
      <c r="B21" s="11" t="s">
        <v>20</v>
      </c>
      <c r="C21" s="16" t="s">
        <v>228</v>
      </c>
      <c r="D21" s="14">
        <f>D20+D19+D18+D17+D16+D15+D14+D13+D12+D11</f>
        <v>36542.981999999996</v>
      </c>
    </row>
    <row r="22" spans="1:4">
      <c r="A22" s="7">
        <v>27</v>
      </c>
      <c r="B22" s="8" t="s">
        <v>21</v>
      </c>
      <c r="C22" s="16" t="s">
        <v>228</v>
      </c>
      <c r="D22" s="14">
        <f>D7-D21</f>
        <v>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15"/>
    </row>
    <row r="26" spans="1:4">
      <c r="A26" s="7">
        <v>33</v>
      </c>
      <c r="B26" s="9" t="s">
        <v>26</v>
      </c>
      <c r="C26" s="16" t="s">
        <v>228</v>
      </c>
      <c r="D26" s="15"/>
    </row>
    <row r="27" spans="1:4">
      <c r="A27" s="7">
        <v>35</v>
      </c>
      <c r="B27" s="9" t="s">
        <v>28</v>
      </c>
      <c r="C27" s="16" t="s">
        <v>228</v>
      </c>
      <c r="D27" s="15"/>
    </row>
    <row r="28" spans="1:4">
      <c r="A28" s="7">
        <v>36</v>
      </c>
      <c r="B28" s="9" t="s">
        <v>29</v>
      </c>
      <c r="C28" s="16" t="s">
        <v>228</v>
      </c>
      <c r="D28" s="15"/>
    </row>
    <row r="29" spans="1:4">
      <c r="A29" s="7">
        <v>42</v>
      </c>
      <c r="B29" s="9" t="s">
        <v>35</v>
      </c>
      <c r="C29" s="16" t="s">
        <v>228</v>
      </c>
      <c r="D29" s="15"/>
    </row>
    <row r="30" spans="1:4">
      <c r="A30" s="7">
        <v>68</v>
      </c>
      <c r="B30" s="9" t="s">
        <v>63</v>
      </c>
      <c r="C30" s="16" t="s">
        <v>228</v>
      </c>
      <c r="D30" s="15"/>
    </row>
    <row r="31" spans="1:4">
      <c r="A31" s="7">
        <v>83</v>
      </c>
      <c r="B31" s="9" t="s">
        <v>80</v>
      </c>
      <c r="C31" s="16" t="s">
        <v>228</v>
      </c>
      <c r="D31" s="15"/>
    </row>
    <row r="32" spans="1:4">
      <c r="A32" s="7">
        <v>94</v>
      </c>
      <c r="B32" s="9" t="s">
        <v>92</v>
      </c>
      <c r="C32" s="16" t="s">
        <v>228</v>
      </c>
      <c r="D32" s="15"/>
    </row>
    <row r="33" spans="1:4">
      <c r="A33" s="7">
        <v>97</v>
      </c>
      <c r="B33" s="9" t="s">
        <v>233</v>
      </c>
      <c r="C33" s="16" t="s">
        <v>228</v>
      </c>
      <c r="D33" s="15"/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</f>
        <v>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10095.434999999999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topLeftCell="A7" workbookViewId="0">
      <selection activeCell="D14" sqref="D14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9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23232.206999999995</v>
      </c>
    </row>
    <row r="7" spans="1:4">
      <c r="A7" s="7">
        <v>2</v>
      </c>
      <c r="B7" s="9" t="s">
        <v>5</v>
      </c>
      <c r="C7" s="16" t="s">
        <v>228</v>
      </c>
      <c r="D7" s="15">
        <f>413.9*3*14.66</f>
        <v>18203.321999999996</v>
      </c>
    </row>
    <row r="8" spans="1:4">
      <c r="A8" s="7">
        <v>3</v>
      </c>
      <c r="B8" s="9" t="s">
        <v>6</v>
      </c>
      <c r="C8" s="16" t="s">
        <v>228</v>
      </c>
      <c r="D8" s="15">
        <f>413.9*3*4.05</f>
        <v>5028.8849999999993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413.9*3*2.29</f>
        <v>2843.4929999999995</v>
      </c>
    </row>
    <row r="12" spans="1:4">
      <c r="A12" s="7">
        <v>14</v>
      </c>
      <c r="B12" s="10" t="s">
        <v>11</v>
      </c>
      <c r="C12" s="16" t="s">
        <v>228</v>
      </c>
      <c r="D12" s="15">
        <f>413.9*3*1.85</f>
        <v>2297.145</v>
      </c>
    </row>
    <row r="13" spans="1:4">
      <c r="A13" s="7">
        <v>15</v>
      </c>
      <c r="B13" s="10" t="s">
        <v>229</v>
      </c>
      <c r="C13" s="16" t="s">
        <v>228</v>
      </c>
      <c r="D13" s="15">
        <v>0</v>
      </c>
    </row>
    <row r="14" spans="1:4">
      <c r="A14" s="7">
        <v>16</v>
      </c>
      <c r="B14" s="10" t="s">
        <v>13</v>
      </c>
      <c r="C14" s="16" t="s">
        <v>228</v>
      </c>
      <c r="D14" s="15">
        <f>413.9*3*2.28</f>
        <v>2831.0759999999996</v>
      </c>
    </row>
    <row r="15" spans="1:4">
      <c r="A15" s="7">
        <v>18</v>
      </c>
      <c r="B15" s="10" t="s">
        <v>239</v>
      </c>
      <c r="C15" s="16" t="s">
        <v>228</v>
      </c>
      <c r="D15" s="15">
        <f>413.9*3*0.37</f>
        <v>459.42899999999992</v>
      </c>
    </row>
    <row r="16" spans="1:4">
      <c r="A16" s="7">
        <v>20</v>
      </c>
      <c r="B16" s="10" t="s">
        <v>16</v>
      </c>
      <c r="C16" s="16" t="s">
        <v>228</v>
      </c>
      <c r="D16" s="15">
        <f>413.9*3*1.68</f>
        <v>2086.0559999999996</v>
      </c>
    </row>
    <row r="17" spans="1:4">
      <c r="A17" s="7">
        <v>22</v>
      </c>
      <c r="B17" s="10" t="s">
        <v>17</v>
      </c>
      <c r="C17" s="16" t="s">
        <v>228</v>
      </c>
      <c r="D17" s="15">
        <f>413.9*3*2.28</f>
        <v>2831.0759999999996</v>
      </c>
    </row>
    <row r="18" spans="1:4">
      <c r="A18" s="7">
        <v>23</v>
      </c>
      <c r="B18" s="10" t="s">
        <v>18</v>
      </c>
      <c r="C18" s="16" t="s">
        <v>228</v>
      </c>
      <c r="D18" s="15">
        <f>413.9*3*1.19</f>
        <v>1477.6229999999998</v>
      </c>
    </row>
    <row r="19" spans="1:4">
      <c r="A19" s="7">
        <v>24</v>
      </c>
      <c r="B19" s="10" t="s">
        <v>19</v>
      </c>
      <c r="C19" s="16" t="s">
        <v>228</v>
      </c>
      <c r="D19" s="15">
        <f>413.9*3*2.66</f>
        <v>3302.9219999999996</v>
      </c>
    </row>
    <row r="20" spans="1:4">
      <c r="A20" s="7">
        <v>25</v>
      </c>
      <c r="B20" s="10" t="s">
        <v>225</v>
      </c>
      <c r="C20" s="16" t="s">
        <v>228</v>
      </c>
      <c r="D20" s="15">
        <f>413.9*3*0.06</f>
        <v>74.501999999999981</v>
      </c>
    </row>
    <row r="21" spans="1:4">
      <c r="A21" s="7">
        <v>26</v>
      </c>
      <c r="B21" s="11" t="s">
        <v>20</v>
      </c>
      <c r="C21" s="16" t="s">
        <v>228</v>
      </c>
      <c r="D21" s="14">
        <f>D20+D19+D18+D17+D16+D15+D14+D13+D12+D11</f>
        <v>18203.322</v>
      </c>
    </row>
    <row r="22" spans="1:4">
      <c r="A22" s="7">
        <v>27</v>
      </c>
      <c r="B22" s="8" t="s">
        <v>21</v>
      </c>
      <c r="C22" s="16" t="s">
        <v>228</v>
      </c>
      <c r="D22" s="14">
        <f>D7-D21</f>
        <v>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15"/>
    </row>
    <row r="26" spans="1:4">
      <c r="A26" s="7">
        <v>33</v>
      </c>
      <c r="B26" s="9" t="s">
        <v>26</v>
      </c>
      <c r="C26" s="16" t="s">
        <v>228</v>
      </c>
      <c r="D26" s="15"/>
    </row>
    <row r="27" spans="1:4">
      <c r="A27" s="7">
        <v>35</v>
      </c>
      <c r="B27" s="9" t="s">
        <v>28</v>
      </c>
      <c r="C27" s="16" t="s">
        <v>228</v>
      </c>
      <c r="D27" s="15"/>
    </row>
    <row r="28" spans="1:4">
      <c r="A28" s="7">
        <v>36</v>
      </c>
      <c r="B28" s="9" t="s">
        <v>29</v>
      </c>
      <c r="C28" s="16" t="s">
        <v>228</v>
      </c>
      <c r="D28" s="15"/>
    </row>
    <row r="29" spans="1:4">
      <c r="A29" s="7">
        <v>42</v>
      </c>
      <c r="B29" s="9" t="s">
        <v>35</v>
      </c>
      <c r="C29" s="16" t="s">
        <v>228</v>
      </c>
      <c r="D29" s="15"/>
    </row>
    <row r="30" spans="1:4">
      <c r="A30" s="7">
        <v>68</v>
      </c>
      <c r="B30" s="9" t="s">
        <v>63</v>
      </c>
      <c r="C30" s="16" t="s">
        <v>228</v>
      </c>
      <c r="D30" s="15"/>
    </row>
    <row r="31" spans="1:4">
      <c r="A31" s="7">
        <v>83</v>
      </c>
      <c r="B31" s="9" t="s">
        <v>80</v>
      </c>
      <c r="C31" s="16" t="s">
        <v>228</v>
      </c>
      <c r="D31" s="15"/>
    </row>
    <row r="32" spans="1:4">
      <c r="A32" s="7">
        <v>94</v>
      </c>
      <c r="B32" s="9" t="s">
        <v>92</v>
      </c>
      <c r="C32" s="16" t="s">
        <v>228</v>
      </c>
      <c r="D32" s="15"/>
    </row>
    <row r="33" spans="1:4">
      <c r="A33" s="7">
        <v>97</v>
      </c>
      <c r="B33" s="9" t="s">
        <v>233</v>
      </c>
      <c r="C33" s="16" t="s">
        <v>228</v>
      </c>
      <c r="D33" s="15"/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</f>
        <v>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5028.8849999999993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topLeftCell="A4" workbookViewId="0">
      <selection activeCell="D14" sqref="D14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9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23232.206999999995</v>
      </c>
    </row>
    <row r="7" spans="1:4">
      <c r="A7" s="7">
        <v>2</v>
      </c>
      <c r="B7" s="9" t="s">
        <v>5</v>
      </c>
      <c r="C7" s="16" t="s">
        <v>228</v>
      </c>
      <c r="D7" s="15">
        <f>413.9*3*14.66</f>
        <v>18203.321999999996</v>
      </c>
    </row>
    <row r="8" spans="1:4">
      <c r="A8" s="7">
        <v>3</v>
      </c>
      <c r="B8" s="9" t="s">
        <v>6</v>
      </c>
      <c r="C8" s="16" t="s">
        <v>228</v>
      </c>
      <c r="D8" s="15">
        <f>413.9*3*4.05</f>
        <v>5028.8849999999993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413.9*3*2.29</f>
        <v>2843.4929999999995</v>
      </c>
    </row>
    <row r="12" spans="1:4">
      <c r="A12" s="7">
        <v>14</v>
      </c>
      <c r="B12" s="10" t="s">
        <v>11</v>
      </c>
      <c r="C12" s="16" t="s">
        <v>228</v>
      </c>
      <c r="D12" s="15">
        <f>413.9*3*1.85</f>
        <v>2297.145</v>
      </c>
    </row>
    <row r="13" spans="1:4">
      <c r="A13" s="7">
        <v>15</v>
      </c>
      <c r="B13" s="10" t="s">
        <v>229</v>
      </c>
      <c r="C13" s="16" t="s">
        <v>228</v>
      </c>
      <c r="D13" s="15">
        <v>0</v>
      </c>
    </row>
    <row r="14" spans="1:4">
      <c r="A14" s="7">
        <v>16</v>
      </c>
      <c r="B14" s="10" t="s">
        <v>13</v>
      </c>
      <c r="C14" s="16" t="s">
        <v>228</v>
      </c>
      <c r="D14" s="15">
        <f>413.9*3*2.28</f>
        <v>2831.0759999999996</v>
      </c>
    </row>
    <row r="15" spans="1:4">
      <c r="A15" s="7">
        <v>18</v>
      </c>
      <c r="B15" s="10" t="s">
        <v>239</v>
      </c>
      <c r="C15" s="16" t="s">
        <v>228</v>
      </c>
      <c r="D15" s="15">
        <f>413.9*3*0.37</f>
        <v>459.42899999999992</v>
      </c>
    </row>
    <row r="16" spans="1:4">
      <c r="A16" s="7">
        <v>20</v>
      </c>
      <c r="B16" s="10" t="s">
        <v>16</v>
      </c>
      <c r="C16" s="16" t="s">
        <v>228</v>
      </c>
      <c r="D16" s="15">
        <f>413.9*3*1.68</f>
        <v>2086.0559999999996</v>
      </c>
    </row>
    <row r="17" spans="1:4">
      <c r="A17" s="7">
        <v>22</v>
      </c>
      <c r="B17" s="10" t="s">
        <v>17</v>
      </c>
      <c r="C17" s="16" t="s">
        <v>228</v>
      </c>
      <c r="D17" s="15">
        <f>413.9*3*2.28</f>
        <v>2831.0759999999996</v>
      </c>
    </row>
    <row r="18" spans="1:4">
      <c r="A18" s="7">
        <v>23</v>
      </c>
      <c r="B18" s="10" t="s">
        <v>18</v>
      </c>
      <c r="C18" s="16" t="s">
        <v>228</v>
      </c>
      <c r="D18" s="15">
        <f>413.9*3*1.19</f>
        <v>1477.6229999999998</v>
      </c>
    </row>
    <row r="19" spans="1:4">
      <c r="A19" s="7">
        <v>24</v>
      </c>
      <c r="B19" s="10" t="s">
        <v>19</v>
      </c>
      <c r="C19" s="16" t="s">
        <v>228</v>
      </c>
      <c r="D19" s="15">
        <f>413.9*3*2.66</f>
        <v>3302.9219999999996</v>
      </c>
    </row>
    <row r="20" spans="1:4">
      <c r="A20" s="7">
        <v>25</v>
      </c>
      <c r="B20" s="10" t="s">
        <v>225</v>
      </c>
      <c r="C20" s="16" t="s">
        <v>228</v>
      </c>
      <c r="D20" s="15">
        <f>413.9*3*0.06</f>
        <v>74.501999999999981</v>
      </c>
    </row>
    <row r="21" spans="1:4">
      <c r="A21" s="7">
        <v>26</v>
      </c>
      <c r="B21" s="11" t="s">
        <v>20</v>
      </c>
      <c r="C21" s="16" t="s">
        <v>228</v>
      </c>
      <c r="D21" s="14">
        <f>D20+D19+D18+D17+D16+D15+D14+D13+D12+D11</f>
        <v>18203.322</v>
      </c>
    </row>
    <row r="22" spans="1:4">
      <c r="A22" s="7">
        <v>27</v>
      </c>
      <c r="B22" s="8" t="s">
        <v>21</v>
      </c>
      <c r="C22" s="16" t="s">
        <v>228</v>
      </c>
      <c r="D22" s="14">
        <f>D7-D21</f>
        <v>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15"/>
    </row>
    <row r="26" spans="1:4">
      <c r="A26" s="7">
        <v>33</v>
      </c>
      <c r="B26" s="9" t="s">
        <v>26</v>
      </c>
      <c r="C26" s="16" t="s">
        <v>228</v>
      </c>
      <c r="D26" s="15"/>
    </row>
    <row r="27" spans="1:4">
      <c r="A27" s="7">
        <v>35</v>
      </c>
      <c r="B27" s="9" t="s">
        <v>28</v>
      </c>
      <c r="C27" s="16" t="s">
        <v>228</v>
      </c>
      <c r="D27" s="15"/>
    </row>
    <row r="28" spans="1:4">
      <c r="A28" s="7">
        <v>36</v>
      </c>
      <c r="B28" s="9" t="s">
        <v>29</v>
      </c>
      <c r="C28" s="16" t="s">
        <v>228</v>
      </c>
      <c r="D28" s="15"/>
    </row>
    <row r="29" spans="1:4">
      <c r="A29" s="7">
        <v>42</v>
      </c>
      <c r="B29" s="9" t="s">
        <v>35</v>
      </c>
      <c r="C29" s="16" t="s">
        <v>228</v>
      </c>
      <c r="D29" s="15"/>
    </row>
    <row r="30" spans="1:4">
      <c r="A30" s="7">
        <v>68</v>
      </c>
      <c r="B30" s="9" t="s">
        <v>63</v>
      </c>
      <c r="C30" s="16" t="s">
        <v>228</v>
      </c>
      <c r="D30" s="15"/>
    </row>
    <row r="31" spans="1:4">
      <c r="A31" s="7">
        <v>83</v>
      </c>
      <c r="B31" s="9" t="s">
        <v>80</v>
      </c>
      <c r="C31" s="16" t="s">
        <v>228</v>
      </c>
      <c r="D31" s="15"/>
    </row>
    <row r="32" spans="1:4">
      <c r="A32" s="7">
        <v>94</v>
      </c>
      <c r="B32" s="9" t="s">
        <v>92</v>
      </c>
      <c r="C32" s="16" t="s">
        <v>228</v>
      </c>
      <c r="D32" s="15"/>
    </row>
    <row r="33" spans="1:4">
      <c r="A33" s="7">
        <v>97</v>
      </c>
      <c r="B33" s="9" t="s">
        <v>233</v>
      </c>
      <c r="C33" s="16" t="s">
        <v>228</v>
      </c>
      <c r="D33" s="15"/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</f>
        <v>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5028.8849999999993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topLeftCell="A7" workbookViewId="0">
      <selection activeCell="D14" sqref="D14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9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47205.33</v>
      </c>
    </row>
    <row r="7" spans="1:4">
      <c r="A7" s="7">
        <v>2</v>
      </c>
      <c r="B7" s="9" t="s">
        <v>5</v>
      </c>
      <c r="C7" s="16" t="s">
        <v>228</v>
      </c>
      <c r="D7" s="15">
        <f>841*3*14.66</f>
        <v>36987.18</v>
      </c>
    </row>
    <row r="8" spans="1:4">
      <c r="A8" s="7">
        <v>3</v>
      </c>
      <c r="B8" s="9" t="s">
        <v>6</v>
      </c>
      <c r="C8" s="16" t="s">
        <v>228</v>
      </c>
      <c r="D8" s="15">
        <f>841*3*4.05</f>
        <v>10218.15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841*3*2.29</f>
        <v>5777.67</v>
      </c>
    </row>
    <row r="12" spans="1:4">
      <c r="A12" s="7">
        <v>14</v>
      </c>
      <c r="B12" s="10" t="s">
        <v>11</v>
      </c>
      <c r="C12" s="16" t="s">
        <v>228</v>
      </c>
      <c r="D12" s="15">
        <f>841*3*1.85</f>
        <v>4667.55</v>
      </c>
    </row>
    <row r="13" spans="1:4">
      <c r="A13" s="7">
        <v>15</v>
      </c>
      <c r="B13" s="10" t="s">
        <v>229</v>
      </c>
      <c r="C13" s="16" t="s">
        <v>228</v>
      </c>
      <c r="D13" s="15">
        <v>0</v>
      </c>
    </row>
    <row r="14" spans="1:4">
      <c r="A14" s="7">
        <v>16</v>
      </c>
      <c r="B14" s="10" t="s">
        <v>13</v>
      </c>
      <c r="C14" s="16" t="s">
        <v>228</v>
      </c>
      <c r="D14" s="15">
        <f>841*3*2.28</f>
        <v>5752.44</v>
      </c>
    </row>
    <row r="15" spans="1:4">
      <c r="A15" s="7">
        <v>18</v>
      </c>
      <c r="B15" s="10" t="s">
        <v>239</v>
      </c>
      <c r="C15" s="16" t="s">
        <v>228</v>
      </c>
      <c r="D15" s="15">
        <f>841*3*0.37</f>
        <v>933.51</v>
      </c>
    </row>
    <row r="16" spans="1:4">
      <c r="A16" s="7">
        <v>20</v>
      </c>
      <c r="B16" s="10" t="s">
        <v>16</v>
      </c>
      <c r="C16" s="16" t="s">
        <v>228</v>
      </c>
      <c r="D16" s="15">
        <f>841*3*1.68</f>
        <v>4238.6399999999994</v>
      </c>
    </row>
    <row r="17" spans="1:4">
      <c r="A17" s="7">
        <v>22</v>
      </c>
      <c r="B17" s="10" t="s">
        <v>17</v>
      </c>
      <c r="C17" s="16" t="s">
        <v>228</v>
      </c>
      <c r="D17" s="15">
        <f>841*3*2.28</f>
        <v>5752.44</v>
      </c>
    </row>
    <row r="18" spans="1:4">
      <c r="A18" s="7">
        <v>23</v>
      </c>
      <c r="B18" s="10" t="s">
        <v>18</v>
      </c>
      <c r="C18" s="16" t="s">
        <v>228</v>
      </c>
      <c r="D18" s="15">
        <f>841*3*1.19</f>
        <v>3002.37</v>
      </c>
    </row>
    <row r="19" spans="1:4">
      <c r="A19" s="7">
        <v>24</v>
      </c>
      <c r="B19" s="10" t="s">
        <v>19</v>
      </c>
      <c r="C19" s="16" t="s">
        <v>228</v>
      </c>
      <c r="D19" s="15">
        <f>841*3*2.66</f>
        <v>6711.18</v>
      </c>
    </row>
    <row r="20" spans="1:4">
      <c r="A20" s="7">
        <v>25</v>
      </c>
      <c r="B20" s="10" t="s">
        <v>225</v>
      </c>
      <c r="C20" s="16" t="s">
        <v>228</v>
      </c>
      <c r="D20" s="15">
        <f>841*3*0.06</f>
        <v>151.38</v>
      </c>
    </row>
    <row r="21" spans="1:4">
      <c r="A21" s="7">
        <v>26</v>
      </c>
      <c r="B21" s="11" t="s">
        <v>20</v>
      </c>
      <c r="C21" s="16" t="s">
        <v>228</v>
      </c>
      <c r="D21" s="14">
        <f>D20+D19+D18+D17+D16+D15+D14+D13+D12+D11</f>
        <v>36987.179999999993</v>
      </c>
    </row>
    <row r="22" spans="1:4">
      <c r="A22" s="7">
        <v>27</v>
      </c>
      <c r="B22" s="8" t="s">
        <v>21</v>
      </c>
      <c r="C22" s="16" t="s">
        <v>228</v>
      </c>
      <c r="D22" s="14">
        <f>D7-D21</f>
        <v>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15"/>
    </row>
    <row r="26" spans="1:4">
      <c r="A26" s="7">
        <v>33</v>
      </c>
      <c r="B26" s="9" t="s">
        <v>26</v>
      </c>
      <c r="C26" s="16" t="s">
        <v>228</v>
      </c>
      <c r="D26" s="15"/>
    </row>
    <row r="27" spans="1:4">
      <c r="A27" s="7">
        <v>35</v>
      </c>
      <c r="B27" s="9" t="s">
        <v>28</v>
      </c>
      <c r="C27" s="16" t="s">
        <v>228</v>
      </c>
      <c r="D27" s="15"/>
    </row>
    <row r="28" spans="1:4">
      <c r="A28" s="7">
        <v>36</v>
      </c>
      <c r="B28" s="9" t="s">
        <v>29</v>
      </c>
      <c r="C28" s="16" t="s">
        <v>228</v>
      </c>
      <c r="D28" s="15"/>
    </row>
    <row r="29" spans="1:4">
      <c r="A29" s="7">
        <v>42</v>
      </c>
      <c r="B29" s="9" t="s">
        <v>35</v>
      </c>
      <c r="C29" s="16" t="s">
        <v>228</v>
      </c>
      <c r="D29" s="15"/>
    </row>
    <row r="30" spans="1:4">
      <c r="A30" s="7">
        <v>68</v>
      </c>
      <c r="B30" s="9" t="s">
        <v>63</v>
      </c>
      <c r="C30" s="16" t="s">
        <v>228</v>
      </c>
      <c r="D30" s="15"/>
    </row>
    <row r="31" spans="1:4">
      <c r="A31" s="7">
        <v>83</v>
      </c>
      <c r="B31" s="9" t="s">
        <v>80</v>
      </c>
      <c r="C31" s="16" t="s">
        <v>228</v>
      </c>
      <c r="D31" s="15"/>
    </row>
    <row r="32" spans="1:4">
      <c r="A32" s="7">
        <v>94</v>
      </c>
      <c r="B32" s="9" t="s">
        <v>92</v>
      </c>
      <c r="C32" s="16" t="s">
        <v>228</v>
      </c>
      <c r="D32" s="15"/>
    </row>
    <row r="33" spans="1:4">
      <c r="A33" s="7">
        <v>97</v>
      </c>
      <c r="B33" s="9" t="s">
        <v>233</v>
      </c>
      <c r="C33" s="16" t="s">
        <v>228</v>
      </c>
      <c r="D33" s="15"/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</f>
        <v>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10218.15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workbookViewId="0">
      <selection activeCell="D14" sqref="D14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9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46150.08600000001</v>
      </c>
    </row>
    <row r="7" spans="1:4">
      <c r="A7" s="7">
        <v>2</v>
      </c>
      <c r="B7" s="9" t="s">
        <v>5</v>
      </c>
      <c r="C7" s="16" t="s">
        <v>228</v>
      </c>
      <c r="D7" s="15">
        <f>822.2*3*14.66</f>
        <v>36160.356000000007</v>
      </c>
    </row>
    <row r="8" spans="1:4">
      <c r="A8" s="7">
        <v>3</v>
      </c>
      <c r="B8" s="9" t="s">
        <v>6</v>
      </c>
      <c r="C8" s="16" t="s">
        <v>228</v>
      </c>
      <c r="D8" s="15">
        <f>822.2*3*4.05</f>
        <v>9989.7300000000014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822.2*3*2.29</f>
        <v>5648.514000000001</v>
      </c>
    </row>
    <row r="12" spans="1:4">
      <c r="A12" s="7">
        <v>14</v>
      </c>
      <c r="B12" s="10" t="s">
        <v>11</v>
      </c>
      <c r="C12" s="16" t="s">
        <v>228</v>
      </c>
      <c r="D12" s="15">
        <f>822.2*3*1.85</f>
        <v>4563.2100000000009</v>
      </c>
    </row>
    <row r="13" spans="1:4">
      <c r="A13" s="7">
        <v>15</v>
      </c>
      <c r="B13" s="10" t="s">
        <v>229</v>
      </c>
      <c r="C13" s="16" t="s">
        <v>228</v>
      </c>
      <c r="D13" s="15">
        <v>0</v>
      </c>
    </row>
    <row r="14" spans="1:4">
      <c r="A14" s="7">
        <v>16</v>
      </c>
      <c r="B14" s="10" t="s">
        <v>13</v>
      </c>
      <c r="C14" s="16" t="s">
        <v>228</v>
      </c>
      <c r="D14" s="15">
        <f>822.2*3*2.28</f>
        <v>5623.848</v>
      </c>
    </row>
    <row r="15" spans="1:4">
      <c r="A15" s="7">
        <v>18</v>
      </c>
      <c r="B15" s="10" t="s">
        <v>239</v>
      </c>
      <c r="C15" s="16" t="s">
        <v>228</v>
      </c>
      <c r="D15" s="15">
        <f>822.2*3*0.37</f>
        <v>912.64200000000017</v>
      </c>
    </row>
    <row r="16" spans="1:4">
      <c r="A16" s="7">
        <v>20</v>
      </c>
      <c r="B16" s="10" t="s">
        <v>16</v>
      </c>
      <c r="C16" s="16" t="s">
        <v>228</v>
      </c>
      <c r="D16" s="15">
        <f>822.2*3*1.68</f>
        <v>4143.8880000000008</v>
      </c>
    </row>
    <row r="17" spans="1:4">
      <c r="A17" s="7">
        <v>22</v>
      </c>
      <c r="B17" s="10" t="s">
        <v>17</v>
      </c>
      <c r="C17" s="16" t="s">
        <v>228</v>
      </c>
      <c r="D17" s="15">
        <f>822.2*3*2.28</f>
        <v>5623.848</v>
      </c>
    </row>
    <row r="18" spans="1:4">
      <c r="A18" s="7">
        <v>23</v>
      </c>
      <c r="B18" s="10" t="s">
        <v>18</v>
      </c>
      <c r="C18" s="16" t="s">
        <v>228</v>
      </c>
      <c r="D18" s="15">
        <f>822.2*3*1.19</f>
        <v>2935.2540000000004</v>
      </c>
    </row>
    <row r="19" spans="1:4">
      <c r="A19" s="7">
        <v>24</v>
      </c>
      <c r="B19" s="10" t="s">
        <v>19</v>
      </c>
      <c r="C19" s="16" t="s">
        <v>228</v>
      </c>
      <c r="D19" s="15">
        <f>822.2*3*2.66</f>
        <v>6561.1560000000018</v>
      </c>
    </row>
    <row r="20" spans="1:4">
      <c r="A20" s="7">
        <v>25</v>
      </c>
      <c r="B20" s="10" t="s">
        <v>225</v>
      </c>
      <c r="C20" s="16" t="s">
        <v>228</v>
      </c>
      <c r="D20" s="15">
        <f>822.2*3*0.06</f>
        <v>147.99600000000001</v>
      </c>
    </row>
    <row r="21" spans="1:4">
      <c r="A21" s="7">
        <v>26</v>
      </c>
      <c r="B21" s="11" t="s">
        <v>20</v>
      </c>
      <c r="C21" s="16" t="s">
        <v>228</v>
      </c>
      <c r="D21" s="14">
        <f>D20+D19+D18+D17+D16+D15+D14+D13+D12+D11</f>
        <v>36160.356000000007</v>
      </c>
    </row>
    <row r="22" spans="1:4">
      <c r="A22" s="7">
        <v>27</v>
      </c>
      <c r="B22" s="8" t="s">
        <v>21</v>
      </c>
      <c r="C22" s="16" t="s">
        <v>228</v>
      </c>
      <c r="D22" s="14">
        <f>D7-D21</f>
        <v>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15"/>
    </row>
    <row r="26" spans="1:4">
      <c r="A26" s="7">
        <v>33</v>
      </c>
      <c r="B26" s="9" t="s">
        <v>26</v>
      </c>
      <c r="C26" s="16" t="s">
        <v>228</v>
      </c>
      <c r="D26" s="15"/>
    </row>
    <row r="27" spans="1:4">
      <c r="A27" s="7">
        <v>35</v>
      </c>
      <c r="B27" s="9" t="s">
        <v>28</v>
      </c>
      <c r="C27" s="16" t="s">
        <v>228</v>
      </c>
      <c r="D27" s="15"/>
    </row>
    <row r="28" spans="1:4">
      <c r="A28" s="7">
        <v>36</v>
      </c>
      <c r="B28" s="9" t="s">
        <v>29</v>
      </c>
      <c r="C28" s="16" t="s">
        <v>228</v>
      </c>
      <c r="D28" s="15"/>
    </row>
    <row r="29" spans="1:4">
      <c r="A29" s="7">
        <v>42</v>
      </c>
      <c r="B29" s="9" t="s">
        <v>35</v>
      </c>
      <c r="C29" s="16" t="s">
        <v>228</v>
      </c>
      <c r="D29" s="15"/>
    </row>
    <row r="30" spans="1:4">
      <c r="A30" s="7">
        <v>68</v>
      </c>
      <c r="B30" s="9" t="s">
        <v>63</v>
      </c>
      <c r="C30" s="16" t="s">
        <v>228</v>
      </c>
      <c r="D30" s="15"/>
    </row>
    <row r="31" spans="1:4">
      <c r="A31" s="7">
        <v>83</v>
      </c>
      <c r="B31" s="9" t="s">
        <v>80</v>
      </c>
      <c r="C31" s="16" t="s">
        <v>228</v>
      </c>
      <c r="D31" s="15"/>
    </row>
    <row r="32" spans="1:4">
      <c r="A32" s="7">
        <v>94</v>
      </c>
      <c r="B32" s="9" t="s">
        <v>92</v>
      </c>
      <c r="C32" s="16" t="s">
        <v>228</v>
      </c>
      <c r="D32" s="15"/>
    </row>
    <row r="33" spans="1:4">
      <c r="A33" s="7">
        <v>97</v>
      </c>
      <c r="B33" s="9" t="s">
        <v>233</v>
      </c>
      <c r="C33" s="16" t="s">
        <v>228</v>
      </c>
      <c r="D33" s="15"/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</f>
        <v>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9989.7300000000014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topLeftCell="A4" workbookViewId="0">
      <selection activeCell="D14" sqref="D14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9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47227.781999999992</v>
      </c>
    </row>
    <row r="7" spans="1:4">
      <c r="A7" s="7">
        <v>2</v>
      </c>
      <c r="B7" s="9" t="s">
        <v>5</v>
      </c>
      <c r="C7" s="16" t="s">
        <v>228</v>
      </c>
      <c r="D7" s="15">
        <f>841.4*3*14.66</f>
        <v>37004.771999999997</v>
      </c>
    </row>
    <row r="8" spans="1:4">
      <c r="A8" s="7">
        <v>3</v>
      </c>
      <c r="B8" s="9" t="s">
        <v>6</v>
      </c>
      <c r="C8" s="16" t="s">
        <v>228</v>
      </c>
      <c r="D8" s="15">
        <f>841.4*3*4.05</f>
        <v>10223.009999999998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841.4*3*2.29</f>
        <v>5780.4179999999997</v>
      </c>
    </row>
    <row r="12" spans="1:4">
      <c r="A12" s="7">
        <v>14</v>
      </c>
      <c r="B12" s="10" t="s">
        <v>11</v>
      </c>
      <c r="C12" s="16" t="s">
        <v>228</v>
      </c>
      <c r="D12" s="15">
        <f>841.4*3*1.85</f>
        <v>4669.7699999999995</v>
      </c>
    </row>
    <row r="13" spans="1:4">
      <c r="A13" s="7">
        <v>15</v>
      </c>
      <c r="B13" s="10" t="s">
        <v>229</v>
      </c>
      <c r="C13" s="16" t="s">
        <v>228</v>
      </c>
      <c r="D13" s="15">
        <v>0</v>
      </c>
    </row>
    <row r="14" spans="1:4">
      <c r="A14" s="7">
        <v>16</v>
      </c>
      <c r="B14" s="10" t="s">
        <v>13</v>
      </c>
      <c r="C14" s="16" t="s">
        <v>228</v>
      </c>
      <c r="D14" s="15">
        <f>841.4*3*2.28</f>
        <v>5755.1759999999995</v>
      </c>
    </row>
    <row r="15" spans="1:4">
      <c r="A15" s="7">
        <v>18</v>
      </c>
      <c r="B15" s="10" t="s">
        <v>239</v>
      </c>
      <c r="C15" s="16" t="s">
        <v>228</v>
      </c>
      <c r="D15" s="15">
        <f>841.4*3*0.37</f>
        <v>933.95399999999995</v>
      </c>
    </row>
    <row r="16" spans="1:4">
      <c r="A16" s="7">
        <v>20</v>
      </c>
      <c r="B16" s="10" t="s">
        <v>16</v>
      </c>
      <c r="C16" s="16" t="s">
        <v>228</v>
      </c>
      <c r="D16" s="15">
        <f>841.4*3*1.68</f>
        <v>4240.6559999999999</v>
      </c>
    </row>
    <row r="17" spans="1:4">
      <c r="A17" s="7">
        <v>22</v>
      </c>
      <c r="B17" s="10" t="s">
        <v>17</v>
      </c>
      <c r="C17" s="16" t="s">
        <v>228</v>
      </c>
      <c r="D17" s="15">
        <f>841.4*3*2.28</f>
        <v>5755.1759999999995</v>
      </c>
    </row>
    <row r="18" spans="1:4">
      <c r="A18" s="7">
        <v>23</v>
      </c>
      <c r="B18" s="10" t="s">
        <v>18</v>
      </c>
      <c r="C18" s="16" t="s">
        <v>228</v>
      </c>
      <c r="D18" s="15">
        <f>841.4*3*1.19</f>
        <v>3003.7979999999998</v>
      </c>
    </row>
    <row r="19" spans="1:4">
      <c r="A19" s="7">
        <v>24</v>
      </c>
      <c r="B19" s="10" t="s">
        <v>19</v>
      </c>
      <c r="C19" s="16" t="s">
        <v>228</v>
      </c>
      <c r="D19" s="15">
        <f>841.4*3*2.66</f>
        <v>6714.3720000000003</v>
      </c>
    </row>
    <row r="20" spans="1:4">
      <c r="A20" s="7">
        <v>25</v>
      </c>
      <c r="B20" s="10" t="s">
        <v>225</v>
      </c>
      <c r="C20" s="16" t="s">
        <v>228</v>
      </c>
      <c r="D20" s="15">
        <f>841.4*3*0.06</f>
        <v>151.45199999999997</v>
      </c>
    </row>
    <row r="21" spans="1:4">
      <c r="A21" s="7">
        <v>26</v>
      </c>
      <c r="B21" s="11" t="s">
        <v>20</v>
      </c>
      <c r="C21" s="16" t="s">
        <v>228</v>
      </c>
      <c r="D21" s="14">
        <f>D20+D19+D18+D17+D16+D15+D14+D13+D12+D11</f>
        <v>37004.771999999997</v>
      </c>
    </row>
    <row r="22" spans="1:4">
      <c r="A22" s="7">
        <v>27</v>
      </c>
      <c r="B22" s="8" t="s">
        <v>21</v>
      </c>
      <c r="C22" s="16" t="s">
        <v>228</v>
      </c>
      <c r="D22" s="14">
        <f>D7-D21</f>
        <v>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15"/>
    </row>
    <row r="26" spans="1:4">
      <c r="A26" s="7">
        <v>33</v>
      </c>
      <c r="B26" s="9" t="s">
        <v>26</v>
      </c>
      <c r="C26" s="16" t="s">
        <v>228</v>
      </c>
      <c r="D26" s="15"/>
    </row>
    <row r="27" spans="1:4">
      <c r="A27" s="7">
        <v>35</v>
      </c>
      <c r="B27" s="9" t="s">
        <v>28</v>
      </c>
      <c r="C27" s="16" t="s">
        <v>228</v>
      </c>
      <c r="D27" s="15"/>
    </row>
    <row r="28" spans="1:4">
      <c r="A28" s="7">
        <v>36</v>
      </c>
      <c r="B28" s="9" t="s">
        <v>29</v>
      </c>
      <c r="C28" s="16" t="s">
        <v>228</v>
      </c>
      <c r="D28" s="15"/>
    </row>
    <row r="29" spans="1:4">
      <c r="A29" s="7">
        <v>42</v>
      </c>
      <c r="B29" s="9" t="s">
        <v>35</v>
      </c>
      <c r="C29" s="16" t="s">
        <v>228</v>
      </c>
      <c r="D29" s="15"/>
    </row>
    <row r="30" spans="1:4">
      <c r="A30" s="7">
        <v>68</v>
      </c>
      <c r="B30" s="9" t="s">
        <v>63</v>
      </c>
      <c r="C30" s="16" t="s">
        <v>228</v>
      </c>
      <c r="D30" s="15"/>
    </row>
    <row r="31" spans="1:4">
      <c r="A31" s="7">
        <v>83</v>
      </c>
      <c r="B31" s="9" t="s">
        <v>80</v>
      </c>
      <c r="C31" s="16" t="s">
        <v>228</v>
      </c>
      <c r="D31" s="15"/>
    </row>
    <row r="32" spans="1:4">
      <c r="A32" s="7">
        <v>94</v>
      </c>
      <c r="B32" s="9" t="s">
        <v>92</v>
      </c>
      <c r="C32" s="16" t="s">
        <v>228</v>
      </c>
      <c r="D32" s="15"/>
    </row>
    <row r="33" spans="1:4">
      <c r="A33" s="7">
        <v>97</v>
      </c>
      <c r="B33" s="9" t="s">
        <v>233</v>
      </c>
      <c r="C33" s="16" t="s">
        <v>228</v>
      </c>
      <c r="D33" s="15"/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</f>
        <v>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10223.009999999998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topLeftCell="A7" workbookViewId="0">
      <selection activeCell="D18" sqref="D18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9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47862.051000000007</v>
      </c>
    </row>
    <row r="7" spans="1:4">
      <c r="A7" s="7">
        <v>2</v>
      </c>
      <c r="B7" s="9" t="s">
        <v>5</v>
      </c>
      <c r="C7" s="16" t="s">
        <v>228</v>
      </c>
      <c r="D7" s="15">
        <f>852.7*3*14.66</f>
        <v>37501.746000000006</v>
      </c>
    </row>
    <row r="8" spans="1:4">
      <c r="A8" s="7">
        <v>3</v>
      </c>
      <c r="B8" s="9" t="s">
        <v>6</v>
      </c>
      <c r="C8" s="16" t="s">
        <v>228</v>
      </c>
      <c r="D8" s="15">
        <f>852.7*3*4.05</f>
        <v>10360.305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852.7*3*2.29</f>
        <v>5858.0490000000009</v>
      </c>
    </row>
    <row r="12" spans="1:4">
      <c r="A12" s="7">
        <v>14</v>
      </c>
      <c r="B12" s="10" t="s">
        <v>11</v>
      </c>
      <c r="C12" s="16" t="s">
        <v>228</v>
      </c>
      <c r="D12" s="15">
        <f>852.7*3*1.85</f>
        <v>4732.4850000000006</v>
      </c>
    </row>
    <row r="13" spans="1:4">
      <c r="A13" s="7">
        <v>15</v>
      </c>
      <c r="B13" s="10" t="s">
        <v>229</v>
      </c>
      <c r="C13" s="16" t="s">
        <v>228</v>
      </c>
      <c r="D13" s="15">
        <v>0</v>
      </c>
    </row>
    <row r="14" spans="1:4">
      <c r="A14" s="7">
        <v>16</v>
      </c>
      <c r="B14" s="10" t="s">
        <v>13</v>
      </c>
      <c r="C14" s="16" t="s">
        <v>228</v>
      </c>
      <c r="D14" s="15">
        <f>852.7*3*2.28</f>
        <v>5832.4680000000008</v>
      </c>
    </row>
    <row r="15" spans="1:4">
      <c r="A15" s="7">
        <v>18</v>
      </c>
      <c r="B15" s="10" t="s">
        <v>239</v>
      </c>
      <c r="C15" s="16" t="s">
        <v>228</v>
      </c>
      <c r="D15" s="15">
        <f>852.7*3*0.37</f>
        <v>946.49700000000007</v>
      </c>
    </row>
    <row r="16" spans="1:4">
      <c r="A16" s="7">
        <v>20</v>
      </c>
      <c r="B16" s="10" t="s">
        <v>16</v>
      </c>
      <c r="C16" s="16" t="s">
        <v>228</v>
      </c>
      <c r="D16" s="15">
        <f>852.7*3*1.68</f>
        <v>4297.6080000000002</v>
      </c>
    </row>
    <row r="17" spans="1:4">
      <c r="A17" s="7">
        <v>22</v>
      </c>
      <c r="B17" s="10" t="s">
        <v>17</v>
      </c>
      <c r="C17" s="16" t="s">
        <v>228</v>
      </c>
      <c r="D17" s="15">
        <f>852.7*3*2.28</f>
        <v>5832.4680000000008</v>
      </c>
    </row>
    <row r="18" spans="1:4">
      <c r="A18" s="7">
        <v>23</v>
      </c>
      <c r="B18" s="10" t="s">
        <v>18</v>
      </c>
      <c r="C18" s="16" t="s">
        <v>228</v>
      </c>
      <c r="D18" s="15">
        <f>852.7*3*1.19</f>
        <v>3044.1390000000001</v>
      </c>
    </row>
    <row r="19" spans="1:4">
      <c r="A19" s="7">
        <v>24</v>
      </c>
      <c r="B19" s="10" t="s">
        <v>19</v>
      </c>
      <c r="C19" s="16" t="s">
        <v>228</v>
      </c>
      <c r="D19" s="15">
        <f>852.7*3*2.66</f>
        <v>6804.5460000000012</v>
      </c>
    </row>
    <row r="20" spans="1:4">
      <c r="A20" s="7">
        <v>25</v>
      </c>
      <c r="B20" s="10" t="s">
        <v>225</v>
      </c>
      <c r="C20" s="16" t="s">
        <v>228</v>
      </c>
      <c r="D20" s="15">
        <f>852.7*3*0.06</f>
        <v>153.48600000000002</v>
      </c>
    </row>
    <row r="21" spans="1:4">
      <c r="A21" s="7">
        <v>26</v>
      </c>
      <c r="B21" s="11" t="s">
        <v>20</v>
      </c>
      <c r="C21" s="16" t="s">
        <v>228</v>
      </c>
      <c r="D21" s="14">
        <f>D20+D19+D18+D17+D16+D15+D14+D13+D12+D11</f>
        <v>37501.746000000006</v>
      </c>
    </row>
    <row r="22" spans="1:4">
      <c r="A22" s="7">
        <v>27</v>
      </c>
      <c r="B22" s="8" t="s">
        <v>21</v>
      </c>
      <c r="C22" s="16" t="s">
        <v>228</v>
      </c>
      <c r="D22" s="14">
        <f>D7-D21</f>
        <v>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15"/>
    </row>
    <row r="26" spans="1:4">
      <c r="A26" s="7">
        <v>33</v>
      </c>
      <c r="B26" s="9" t="s">
        <v>26</v>
      </c>
      <c r="C26" s="16" t="s">
        <v>228</v>
      </c>
      <c r="D26" s="15"/>
    </row>
    <row r="27" spans="1:4">
      <c r="A27" s="7">
        <v>35</v>
      </c>
      <c r="B27" s="9" t="s">
        <v>28</v>
      </c>
      <c r="C27" s="16" t="s">
        <v>228</v>
      </c>
      <c r="D27" s="15"/>
    </row>
    <row r="28" spans="1:4">
      <c r="A28" s="7">
        <v>36</v>
      </c>
      <c r="B28" s="9" t="s">
        <v>29</v>
      </c>
      <c r="C28" s="16" t="s">
        <v>228</v>
      </c>
      <c r="D28" s="15"/>
    </row>
    <row r="29" spans="1:4">
      <c r="A29" s="7">
        <v>42</v>
      </c>
      <c r="B29" s="9" t="s">
        <v>35</v>
      </c>
      <c r="C29" s="16" t="s">
        <v>228</v>
      </c>
      <c r="D29" s="15"/>
    </row>
    <row r="30" spans="1:4">
      <c r="A30" s="7">
        <v>68</v>
      </c>
      <c r="B30" s="9" t="s">
        <v>63</v>
      </c>
      <c r="C30" s="16" t="s">
        <v>228</v>
      </c>
      <c r="D30" s="15"/>
    </row>
    <row r="31" spans="1:4">
      <c r="A31" s="7">
        <v>83</v>
      </c>
      <c r="B31" s="9" t="s">
        <v>80</v>
      </c>
      <c r="C31" s="16" t="s">
        <v>228</v>
      </c>
      <c r="D31" s="15"/>
    </row>
    <row r="32" spans="1:4">
      <c r="A32" s="7">
        <v>94</v>
      </c>
      <c r="B32" s="9" t="s">
        <v>92</v>
      </c>
      <c r="C32" s="16" t="s">
        <v>228</v>
      </c>
      <c r="D32" s="15"/>
    </row>
    <row r="33" spans="1:4">
      <c r="A33" s="7">
        <v>97</v>
      </c>
      <c r="B33" s="9" t="s">
        <v>233</v>
      </c>
      <c r="C33" s="16" t="s">
        <v>228</v>
      </c>
      <c r="D33" s="15"/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</f>
        <v>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10360.305</v>
      </c>
    </row>
  </sheetData>
  <mergeCells count="4">
    <mergeCell ref="A2:D2"/>
    <mergeCell ref="B3:D3"/>
    <mergeCell ref="B10:D10"/>
    <mergeCell ref="B23:D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tabSelected="1" workbookViewId="0">
      <selection activeCell="B9" sqref="B9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1"/>
      <c r="B3" s="100"/>
      <c r="C3" s="100"/>
      <c r="D3" s="100"/>
    </row>
    <row r="4" spans="1:4">
      <c r="A4" s="1"/>
      <c r="B4" s="1"/>
      <c r="C4" s="1"/>
      <c r="D4" s="1"/>
    </row>
    <row r="5" spans="1:4">
      <c r="A5" s="5"/>
      <c r="B5" s="101"/>
      <c r="C5" s="101"/>
      <c r="D5" s="101"/>
    </row>
    <row r="6" spans="1:4">
      <c r="A6" s="2"/>
      <c r="B6" s="2"/>
      <c r="C6" s="2"/>
      <c r="D6" s="13"/>
    </row>
    <row r="7" spans="1:4">
      <c r="A7" s="6" t="s">
        <v>0</v>
      </c>
      <c r="B7" s="6" t="s">
        <v>1</v>
      </c>
      <c r="C7" s="6" t="s">
        <v>2</v>
      </c>
      <c r="D7" s="6" t="s">
        <v>3</v>
      </c>
    </row>
    <row r="8" spans="1:4">
      <c r="A8" s="7">
        <v>1</v>
      </c>
      <c r="B8" s="8" t="s">
        <v>242</v>
      </c>
      <c r="C8" s="16" t="s">
        <v>228</v>
      </c>
      <c r="D8" s="14">
        <f>D9+D10</f>
        <v>175350.12000000002</v>
      </c>
    </row>
    <row r="9" spans="1:4">
      <c r="A9" s="7">
        <v>2</v>
      </c>
      <c r="B9" s="9" t="s">
        <v>5</v>
      </c>
      <c r="C9" s="16" t="s">
        <v>228</v>
      </c>
      <c r="D9" s="15">
        <f>14.66*781*12</f>
        <v>137393.52000000002</v>
      </c>
    </row>
    <row r="10" spans="1:4">
      <c r="A10" s="7">
        <v>3</v>
      </c>
      <c r="B10" s="9" t="s">
        <v>6</v>
      </c>
      <c r="C10" s="16" t="s">
        <v>228</v>
      </c>
      <c r="D10" s="15">
        <f>4.05*781*12</f>
        <v>37956.6</v>
      </c>
    </row>
    <row r="11" spans="1:4">
      <c r="A11" s="7">
        <v>10</v>
      </c>
      <c r="B11" s="7"/>
      <c r="C11" s="7"/>
      <c r="D11" s="16"/>
    </row>
    <row r="12" spans="1:4">
      <c r="A12" s="7">
        <v>11</v>
      </c>
      <c r="B12" s="97" t="s">
        <v>9</v>
      </c>
      <c r="C12" s="98"/>
      <c r="D12" s="99"/>
    </row>
    <row r="13" spans="1:4">
      <c r="A13" s="7">
        <v>12</v>
      </c>
      <c r="B13" s="10" t="s">
        <v>10</v>
      </c>
      <c r="C13" s="16" t="s">
        <v>228</v>
      </c>
      <c r="D13" s="15">
        <f>12*781*2.29</f>
        <v>21461.88</v>
      </c>
    </row>
    <row r="14" spans="1:4">
      <c r="A14" s="7">
        <v>14</v>
      </c>
      <c r="B14" s="10" t="s">
        <v>11</v>
      </c>
      <c r="C14" s="16" t="s">
        <v>228</v>
      </c>
      <c r="D14" s="15">
        <f>12*781*1.85</f>
        <v>17338.2</v>
      </c>
    </row>
    <row r="15" spans="1:4">
      <c r="A15" s="7">
        <v>15</v>
      </c>
      <c r="B15" s="10" t="s">
        <v>229</v>
      </c>
      <c r="C15" s="16" t="s">
        <v>228</v>
      </c>
      <c r="D15" s="15">
        <v>25000</v>
      </c>
    </row>
    <row r="16" spans="1:4">
      <c r="A16" s="7">
        <v>16</v>
      </c>
      <c r="B16" s="10" t="s">
        <v>13</v>
      </c>
      <c r="C16" s="16" t="s">
        <v>228</v>
      </c>
      <c r="D16" s="15">
        <f>12*781*2.28</f>
        <v>21368.16</v>
      </c>
    </row>
    <row r="17" spans="1:4">
      <c r="A17" s="7">
        <v>22</v>
      </c>
      <c r="B17" s="10" t="s">
        <v>16</v>
      </c>
      <c r="C17" s="16" t="s">
        <v>228</v>
      </c>
      <c r="D17" s="15">
        <f>12*781*1.68</f>
        <v>15744.96</v>
      </c>
    </row>
    <row r="18" spans="1:4">
      <c r="A18" s="7">
        <v>23</v>
      </c>
      <c r="B18" s="10" t="s">
        <v>17</v>
      </c>
      <c r="C18" s="16" t="s">
        <v>228</v>
      </c>
      <c r="D18" s="15">
        <f>12*781*2.28</f>
        <v>21368.16</v>
      </c>
    </row>
    <row r="19" spans="1:4">
      <c r="A19" s="7">
        <v>24</v>
      </c>
      <c r="B19" s="10" t="s">
        <v>18</v>
      </c>
      <c r="C19" s="16" t="s">
        <v>228</v>
      </c>
      <c r="D19" s="15">
        <f>12*781*1.19</f>
        <v>11152.68</v>
      </c>
    </row>
    <row r="20" spans="1:4">
      <c r="A20" s="7">
        <v>25</v>
      </c>
      <c r="B20" s="10" t="s">
        <v>19</v>
      </c>
      <c r="C20" s="16" t="s">
        <v>228</v>
      </c>
      <c r="D20" s="15">
        <f>12*781*1.68</f>
        <v>15744.96</v>
      </c>
    </row>
    <row r="21" spans="1:4">
      <c r="A21" s="7">
        <v>26</v>
      </c>
      <c r="B21" s="10" t="s">
        <v>225</v>
      </c>
      <c r="C21" s="16" t="s">
        <v>228</v>
      </c>
      <c r="D21" s="15">
        <f>12*781*0.06</f>
        <v>562.31999999999994</v>
      </c>
    </row>
    <row r="22" spans="1:4">
      <c r="A22" s="7"/>
      <c r="B22" s="10" t="s">
        <v>239</v>
      </c>
      <c r="C22" s="16" t="s">
        <v>228</v>
      </c>
      <c r="D22" s="15">
        <f>12*781*0.37</f>
        <v>3467.64</v>
      </c>
    </row>
    <row r="23" spans="1:4">
      <c r="A23" s="7">
        <v>27</v>
      </c>
      <c r="B23" s="11" t="s">
        <v>20</v>
      </c>
      <c r="C23" s="16" t="s">
        <v>228</v>
      </c>
      <c r="D23" s="14">
        <f>D21+D20+D19+D18+D17+D16+D15+D14+D13+D22</f>
        <v>153208.95999999999</v>
      </c>
    </row>
    <row r="24" spans="1:4">
      <c r="A24" s="7">
        <v>28</v>
      </c>
      <c r="B24" s="8" t="s">
        <v>21</v>
      </c>
      <c r="C24" s="16" t="s">
        <v>228</v>
      </c>
      <c r="D24" s="14">
        <f>D9-D23</f>
        <v>-15815.439999999973</v>
      </c>
    </row>
    <row r="25" spans="1:4">
      <c r="A25" s="7">
        <v>29</v>
      </c>
      <c r="B25" s="97" t="s">
        <v>22</v>
      </c>
      <c r="C25" s="98"/>
      <c r="D25" s="99"/>
    </row>
    <row r="26" spans="1:4">
      <c r="A26" s="7">
        <v>30</v>
      </c>
      <c r="B26" s="8" t="s">
        <v>23</v>
      </c>
      <c r="C26" s="16"/>
      <c r="D26" s="14"/>
    </row>
    <row r="27" spans="1:4">
      <c r="A27" s="7">
        <v>33</v>
      </c>
      <c r="B27" s="9" t="s">
        <v>26</v>
      </c>
      <c r="C27" s="16" t="s">
        <v>228</v>
      </c>
      <c r="D27" s="93"/>
    </row>
    <row r="28" spans="1:4">
      <c r="A28" s="7">
        <v>35</v>
      </c>
      <c r="B28" s="9" t="s">
        <v>28</v>
      </c>
      <c r="C28" s="16" t="s">
        <v>228</v>
      </c>
      <c r="D28" s="93"/>
    </row>
    <row r="29" spans="1:4">
      <c r="A29" s="7">
        <v>42</v>
      </c>
      <c r="B29" s="9" t="s">
        <v>35</v>
      </c>
      <c r="C29" s="16" t="s">
        <v>228</v>
      </c>
      <c r="D29" s="93"/>
    </row>
    <row r="30" spans="1:4" ht="24">
      <c r="A30" s="7">
        <v>64</v>
      </c>
      <c r="B30" s="12" t="s">
        <v>59</v>
      </c>
      <c r="C30" s="16" t="s">
        <v>228</v>
      </c>
      <c r="D30" s="93"/>
    </row>
    <row r="31" spans="1:4">
      <c r="A31" s="7">
        <v>83</v>
      </c>
      <c r="B31" s="9" t="s">
        <v>80</v>
      </c>
      <c r="C31" s="16" t="s">
        <v>228</v>
      </c>
      <c r="D31" s="93"/>
    </row>
    <row r="32" spans="1:4">
      <c r="A32" s="7">
        <v>98</v>
      </c>
      <c r="B32" s="11" t="s">
        <v>20</v>
      </c>
      <c r="C32" s="16" t="s">
        <v>228</v>
      </c>
      <c r="D32" s="14">
        <f>D31+D30+D29+D28+D27</f>
        <v>0</v>
      </c>
    </row>
    <row r="33" spans="1:4">
      <c r="A33" s="7">
        <v>103</v>
      </c>
      <c r="B33" s="8" t="s">
        <v>21</v>
      </c>
      <c r="C33" s="16" t="s">
        <v>228</v>
      </c>
      <c r="D33" s="14">
        <f>D10-D32</f>
        <v>37956.6</v>
      </c>
    </row>
  </sheetData>
  <mergeCells count="5">
    <mergeCell ref="A2:D2"/>
    <mergeCell ref="B3:D3"/>
    <mergeCell ref="B5:D5"/>
    <mergeCell ref="B12:D12"/>
    <mergeCell ref="B25:D25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topLeftCell="A7" workbookViewId="0">
      <selection activeCell="D14" sqref="D14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9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46172.538</v>
      </c>
    </row>
    <row r="7" spans="1:4">
      <c r="A7" s="7">
        <v>2</v>
      </c>
      <c r="B7" s="9" t="s">
        <v>5</v>
      </c>
      <c r="C7" s="16" t="s">
        <v>228</v>
      </c>
      <c r="D7" s="15">
        <f>822.6*3*14.66</f>
        <v>36177.948000000004</v>
      </c>
    </row>
    <row r="8" spans="1:4">
      <c r="A8" s="7">
        <v>3</v>
      </c>
      <c r="B8" s="9" t="s">
        <v>6</v>
      </c>
      <c r="C8" s="16" t="s">
        <v>228</v>
      </c>
      <c r="D8" s="15">
        <f>822.6*3*4.05</f>
        <v>9994.59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822.6*3*2.29</f>
        <v>5651.2620000000006</v>
      </c>
    </row>
    <row r="12" spans="1:4">
      <c r="A12" s="7">
        <v>14</v>
      </c>
      <c r="B12" s="10" t="s">
        <v>11</v>
      </c>
      <c r="C12" s="16" t="s">
        <v>228</v>
      </c>
      <c r="D12" s="15">
        <f>822.6*3*1.85</f>
        <v>4565.43</v>
      </c>
    </row>
    <row r="13" spans="1:4">
      <c r="A13" s="7">
        <v>15</v>
      </c>
      <c r="B13" s="10" t="s">
        <v>229</v>
      </c>
      <c r="C13" s="16" t="s">
        <v>228</v>
      </c>
      <c r="D13" s="15">
        <v>0</v>
      </c>
    </row>
    <row r="14" spans="1:4">
      <c r="A14" s="7">
        <v>16</v>
      </c>
      <c r="B14" s="10" t="s">
        <v>13</v>
      </c>
      <c r="C14" s="16" t="s">
        <v>228</v>
      </c>
      <c r="D14" s="15">
        <f>822.6*3*2.28</f>
        <v>5626.5839999999998</v>
      </c>
    </row>
    <row r="15" spans="1:4">
      <c r="A15" s="7">
        <v>18</v>
      </c>
      <c r="B15" s="10" t="s">
        <v>239</v>
      </c>
      <c r="C15" s="16" t="s">
        <v>228</v>
      </c>
      <c r="D15" s="15">
        <f>822.6*3*0.37</f>
        <v>913.08600000000001</v>
      </c>
    </row>
    <row r="16" spans="1:4">
      <c r="A16" s="7">
        <v>20</v>
      </c>
      <c r="B16" s="10" t="s">
        <v>16</v>
      </c>
      <c r="C16" s="16" t="s">
        <v>228</v>
      </c>
      <c r="D16" s="15">
        <f>822.6*3*1.68</f>
        <v>4145.9040000000005</v>
      </c>
    </row>
    <row r="17" spans="1:4">
      <c r="A17" s="7">
        <v>22</v>
      </c>
      <c r="B17" s="10" t="s">
        <v>17</v>
      </c>
      <c r="C17" s="16" t="s">
        <v>228</v>
      </c>
      <c r="D17" s="15">
        <f>822.6*3*2.28</f>
        <v>5626.5839999999998</v>
      </c>
    </row>
    <row r="18" spans="1:4">
      <c r="A18" s="7">
        <v>23</v>
      </c>
      <c r="B18" s="10" t="s">
        <v>18</v>
      </c>
      <c r="C18" s="16" t="s">
        <v>228</v>
      </c>
      <c r="D18" s="15">
        <f>822.6*3*1.19</f>
        <v>2936.6820000000002</v>
      </c>
    </row>
    <row r="19" spans="1:4">
      <c r="A19" s="7">
        <v>24</v>
      </c>
      <c r="B19" s="10" t="s">
        <v>19</v>
      </c>
      <c r="C19" s="16" t="s">
        <v>228</v>
      </c>
      <c r="D19" s="15">
        <f>822.6*3*2.66</f>
        <v>6564.3480000000009</v>
      </c>
    </row>
    <row r="20" spans="1:4">
      <c r="A20" s="7">
        <v>25</v>
      </c>
      <c r="B20" s="10" t="s">
        <v>225</v>
      </c>
      <c r="C20" s="16" t="s">
        <v>228</v>
      </c>
      <c r="D20" s="15">
        <f>822.6*3*0.06</f>
        <v>148.06800000000001</v>
      </c>
    </row>
    <row r="21" spans="1:4">
      <c r="A21" s="7">
        <v>26</v>
      </c>
      <c r="B21" s="11" t="s">
        <v>20</v>
      </c>
      <c r="C21" s="16" t="s">
        <v>228</v>
      </c>
      <c r="D21" s="14">
        <f>D20+D19+D18+D17+D16+D15+D14+D13+D12+D11</f>
        <v>36177.948000000004</v>
      </c>
    </row>
    <row r="22" spans="1:4">
      <c r="A22" s="7">
        <v>27</v>
      </c>
      <c r="B22" s="8" t="s">
        <v>21</v>
      </c>
      <c r="C22" s="16" t="s">
        <v>228</v>
      </c>
      <c r="D22" s="14">
        <f>D7-D21</f>
        <v>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15"/>
    </row>
    <row r="26" spans="1:4">
      <c r="A26" s="7">
        <v>33</v>
      </c>
      <c r="B26" s="9" t="s">
        <v>26</v>
      </c>
      <c r="C26" s="16" t="s">
        <v>228</v>
      </c>
      <c r="D26" s="15"/>
    </row>
    <row r="27" spans="1:4">
      <c r="A27" s="7">
        <v>35</v>
      </c>
      <c r="B27" s="9" t="s">
        <v>28</v>
      </c>
      <c r="C27" s="16" t="s">
        <v>228</v>
      </c>
      <c r="D27" s="15"/>
    </row>
    <row r="28" spans="1:4">
      <c r="A28" s="7">
        <v>36</v>
      </c>
      <c r="B28" s="9" t="s">
        <v>29</v>
      </c>
      <c r="C28" s="16" t="s">
        <v>228</v>
      </c>
      <c r="D28" s="15"/>
    </row>
    <row r="29" spans="1:4">
      <c r="A29" s="7">
        <v>42</v>
      </c>
      <c r="B29" s="9" t="s">
        <v>35</v>
      </c>
      <c r="C29" s="16" t="s">
        <v>228</v>
      </c>
      <c r="D29" s="15"/>
    </row>
    <row r="30" spans="1:4">
      <c r="A30" s="7">
        <v>68</v>
      </c>
      <c r="B30" s="9" t="s">
        <v>63</v>
      </c>
      <c r="C30" s="16" t="s">
        <v>228</v>
      </c>
      <c r="D30" s="15"/>
    </row>
    <row r="31" spans="1:4">
      <c r="A31" s="7">
        <v>83</v>
      </c>
      <c r="B31" s="9" t="s">
        <v>80</v>
      </c>
      <c r="C31" s="16" t="s">
        <v>228</v>
      </c>
      <c r="D31" s="15"/>
    </row>
    <row r="32" spans="1:4">
      <c r="A32" s="7">
        <v>94</v>
      </c>
      <c r="B32" s="9" t="s">
        <v>92</v>
      </c>
      <c r="C32" s="16" t="s">
        <v>228</v>
      </c>
      <c r="D32" s="15"/>
    </row>
    <row r="33" spans="1:4">
      <c r="A33" s="7">
        <v>97</v>
      </c>
      <c r="B33" s="9" t="s">
        <v>233</v>
      </c>
      <c r="C33" s="16" t="s">
        <v>228</v>
      </c>
      <c r="D33" s="15"/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</f>
        <v>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9994.59</v>
      </c>
    </row>
  </sheetData>
  <mergeCells count="4">
    <mergeCell ref="B23:D23"/>
    <mergeCell ref="A2:D2"/>
    <mergeCell ref="B3:D3"/>
    <mergeCell ref="B10:D10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topLeftCell="A7" workbookViewId="0">
      <selection activeCell="D14" sqref="D14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9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46481.253000000004</v>
      </c>
    </row>
    <row r="7" spans="1:4">
      <c r="A7" s="7">
        <v>2</v>
      </c>
      <c r="B7" s="9" t="s">
        <v>5</v>
      </c>
      <c r="C7" s="16" t="s">
        <v>228</v>
      </c>
      <c r="D7" s="15">
        <f>828.1*3*14.66</f>
        <v>36419.838000000003</v>
      </c>
    </row>
    <row r="8" spans="1:4">
      <c r="A8" s="7">
        <v>3</v>
      </c>
      <c r="B8" s="9" t="s">
        <v>6</v>
      </c>
      <c r="C8" s="16" t="s">
        <v>228</v>
      </c>
      <c r="D8" s="15">
        <f>828.1*3*4.05</f>
        <v>10061.415000000001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828.1*3*2.29</f>
        <v>5689.0470000000005</v>
      </c>
    </row>
    <row r="12" spans="1:4">
      <c r="A12" s="7">
        <v>14</v>
      </c>
      <c r="B12" s="10" t="s">
        <v>11</v>
      </c>
      <c r="C12" s="16" t="s">
        <v>228</v>
      </c>
      <c r="D12" s="15">
        <f>828.1*3*1.85</f>
        <v>4595.9550000000008</v>
      </c>
    </row>
    <row r="13" spans="1:4">
      <c r="A13" s="7">
        <v>15</v>
      </c>
      <c r="B13" s="10" t="s">
        <v>229</v>
      </c>
      <c r="C13" s="16" t="s">
        <v>228</v>
      </c>
      <c r="D13" s="15">
        <v>0</v>
      </c>
    </row>
    <row r="14" spans="1:4">
      <c r="A14" s="7">
        <v>16</v>
      </c>
      <c r="B14" s="10" t="s">
        <v>13</v>
      </c>
      <c r="C14" s="16" t="s">
        <v>228</v>
      </c>
      <c r="D14" s="15">
        <f>828.1*3*2.28</f>
        <v>5664.2039999999997</v>
      </c>
    </row>
    <row r="15" spans="1:4">
      <c r="A15" s="7">
        <v>18</v>
      </c>
      <c r="B15" s="10" t="s">
        <v>239</v>
      </c>
      <c r="C15" s="16" t="s">
        <v>228</v>
      </c>
      <c r="D15" s="15">
        <f>828.1*3*0.37</f>
        <v>919.19100000000003</v>
      </c>
    </row>
    <row r="16" spans="1:4">
      <c r="A16" s="7">
        <v>20</v>
      </c>
      <c r="B16" s="10" t="s">
        <v>16</v>
      </c>
      <c r="C16" s="16" t="s">
        <v>228</v>
      </c>
      <c r="D16" s="15">
        <f>828.1*3*1.68</f>
        <v>4173.6239999999998</v>
      </c>
    </row>
    <row r="17" spans="1:4">
      <c r="A17" s="7">
        <v>22</v>
      </c>
      <c r="B17" s="10" t="s">
        <v>17</v>
      </c>
      <c r="C17" s="16" t="s">
        <v>228</v>
      </c>
      <c r="D17" s="15">
        <f>828.1*3*2.28</f>
        <v>5664.2039999999997</v>
      </c>
    </row>
    <row r="18" spans="1:4">
      <c r="A18" s="7">
        <v>23</v>
      </c>
      <c r="B18" s="10" t="s">
        <v>18</v>
      </c>
      <c r="C18" s="16" t="s">
        <v>228</v>
      </c>
      <c r="D18" s="15">
        <f>828.1*3*1.19</f>
        <v>2956.317</v>
      </c>
    </row>
    <row r="19" spans="1:4">
      <c r="A19" s="7">
        <v>24</v>
      </c>
      <c r="B19" s="10" t="s">
        <v>19</v>
      </c>
      <c r="C19" s="16" t="s">
        <v>228</v>
      </c>
      <c r="D19" s="15">
        <f>828.1*3*2.66</f>
        <v>6608.2380000000012</v>
      </c>
    </row>
    <row r="20" spans="1:4">
      <c r="A20" s="7">
        <v>25</v>
      </c>
      <c r="B20" s="10" t="s">
        <v>225</v>
      </c>
      <c r="C20" s="16" t="s">
        <v>228</v>
      </c>
      <c r="D20" s="15">
        <f>828.1*3*0.06</f>
        <v>149.05799999999999</v>
      </c>
    </row>
    <row r="21" spans="1:4">
      <c r="A21" s="7">
        <v>26</v>
      </c>
      <c r="B21" s="11" t="s">
        <v>20</v>
      </c>
      <c r="C21" s="16" t="s">
        <v>228</v>
      </c>
      <c r="D21" s="14">
        <f>D20+D19+D18+D17+D16+D15+D14+D13+D12+D11</f>
        <v>36419.837999999996</v>
      </c>
    </row>
    <row r="22" spans="1:4">
      <c r="A22" s="7">
        <v>27</v>
      </c>
      <c r="B22" s="8" t="s">
        <v>21</v>
      </c>
      <c r="C22" s="16" t="s">
        <v>228</v>
      </c>
      <c r="D22" s="14">
        <f>D7-D21</f>
        <v>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15"/>
    </row>
    <row r="26" spans="1:4">
      <c r="A26" s="7">
        <v>33</v>
      </c>
      <c r="B26" s="9" t="s">
        <v>26</v>
      </c>
      <c r="C26" s="16" t="s">
        <v>228</v>
      </c>
      <c r="D26" s="15"/>
    </row>
    <row r="27" spans="1:4">
      <c r="A27" s="7">
        <v>35</v>
      </c>
      <c r="B27" s="9" t="s">
        <v>28</v>
      </c>
      <c r="C27" s="16" t="s">
        <v>228</v>
      </c>
      <c r="D27" s="15"/>
    </row>
    <row r="28" spans="1:4">
      <c r="A28" s="7">
        <v>36</v>
      </c>
      <c r="B28" s="9" t="s">
        <v>29</v>
      </c>
      <c r="C28" s="16" t="s">
        <v>228</v>
      </c>
      <c r="D28" s="15"/>
    </row>
    <row r="29" spans="1:4">
      <c r="A29" s="7">
        <v>42</v>
      </c>
      <c r="B29" s="9" t="s">
        <v>35</v>
      </c>
      <c r="C29" s="16" t="s">
        <v>228</v>
      </c>
      <c r="D29" s="15"/>
    </row>
    <row r="30" spans="1:4">
      <c r="A30" s="7">
        <v>68</v>
      </c>
      <c r="B30" s="9" t="s">
        <v>63</v>
      </c>
      <c r="C30" s="16" t="s">
        <v>228</v>
      </c>
      <c r="D30" s="15"/>
    </row>
    <row r="31" spans="1:4">
      <c r="A31" s="7">
        <v>83</v>
      </c>
      <c r="B31" s="9" t="s">
        <v>80</v>
      </c>
      <c r="C31" s="16" t="s">
        <v>228</v>
      </c>
      <c r="D31" s="15"/>
    </row>
    <row r="32" spans="1:4">
      <c r="A32" s="7">
        <v>94</v>
      </c>
      <c r="B32" s="9" t="s">
        <v>92</v>
      </c>
      <c r="C32" s="16" t="s">
        <v>228</v>
      </c>
      <c r="D32" s="15"/>
    </row>
    <row r="33" spans="1:4">
      <c r="A33" s="7">
        <v>97</v>
      </c>
      <c r="B33" s="9" t="s">
        <v>233</v>
      </c>
      <c r="C33" s="16" t="s">
        <v>228</v>
      </c>
      <c r="D33" s="15"/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</f>
        <v>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10061.415000000001</v>
      </c>
    </row>
  </sheetData>
  <mergeCells count="4">
    <mergeCell ref="B23:D23"/>
    <mergeCell ref="A2:D2"/>
    <mergeCell ref="B3:D3"/>
    <mergeCell ref="B10:D10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topLeftCell="A7" workbookViewId="0">
      <selection activeCell="F19" sqref="F19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227</v>
      </c>
      <c r="B2" s="96"/>
      <c r="C2" s="96"/>
      <c r="D2" s="96"/>
    </row>
    <row r="3" spans="1:4">
      <c r="A3" s="9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224</v>
      </c>
      <c r="C6" s="16" t="s">
        <v>228</v>
      </c>
      <c r="D6" s="14">
        <f>D7+D8</f>
        <v>46363.380000000005</v>
      </c>
    </row>
    <row r="7" spans="1:4">
      <c r="A7" s="7">
        <v>2</v>
      </c>
      <c r="B7" s="9" t="s">
        <v>5</v>
      </c>
      <c r="C7" s="16" t="s">
        <v>228</v>
      </c>
      <c r="D7" s="15">
        <f>826*3*14.66</f>
        <v>36327.480000000003</v>
      </c>
    </row>
    <row r="8" spans="1:4">
      <c r="A8" s="7">
        <v>3</v>
      </c>
      <c r="B8" s="9" t="s">
        <v>6</v>
      </c>
      <c r="C8" s="16" t="s">
        <v>228</v>
      </c>
      <c r="D8" s="15">
        <f>826*3*4.05</f>
        <v>10035.9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826*3*2.29</f>
        <v>5674.62</v>
      </c>
    </row>
    <row r="12" spans="1:4">
      <c r="A12" s="7">
        <v>14</v>
      </c>
      <c r="B12" s="10" t="s">
        <v>11</v>
      </c>
      <c r="C12" s="16" t="s">
        <v>228</v>
      </c>
      <c r="D12" s="15">
        <f>826*3*1.85</f>
        <v>4584.3</v>
      </c>
    </row>
    <row r="13" spans="1:4">
      <c r="A13" s="7">
        <v>15</v>
      </c>
      <c r="B13" s="10" t="s">
        <v>229</v>
      </c>
      <c r="C13" s="16" t="s">
        <v>228</v>
      </c>
      <c r="D13" s="15">
        <v>0</v>
      </c>
    </row>
    <row r="14" spans="1:4">
      <c r="A14" s="7">
        <v>16</v>
      </c>
      <c r="B14" s="10" t="s">
        <v>13</v>
      </c>
      <c r="C14" s="16" t="s">
        <v>228</v>
      </c>
      <c r="D14" s="15">
        <f>826*3*2.28</f>
        <v>5649.8399999999992</v>
      </c>
    </row>
    <row r="15" spans="1:4">
      <c r="A15" s="7">
        <v>18</v>
      </c>
      <c r="B15" s="10" t="s">
        <v>239</v>
      </c>
      <c r="C15" s="16" t="s">
        <v>228</v>
      </c>
      <c r="D15" s="15">
        <f>826*3*0.37</f>
        <v>916.86</v>
      </c>
    </row>
    <row r="16" spans="1:4">
      <c r="A16" s="7">
        <v>20</v>
      </c>
      <c r="B16" s="10" t="s">
        <v>16</v>
      </c>
      <c r="C16" s="16" t="s">
        <v>228</v>
      </c>
      <c r="D16" s="15">
        <f>826*3*1.68</f>
        <v>4163.04</v>
      </c>
    </row>
    <row r="17" spans="1:4">
      <c r="A17" s="7">
        <v>22</v>
      </c>
      <c r="B17" s="10" t="s">
        <v>17</v>
      </c>
      <c r="C17" s="16" t="s">
        <v>228</v>
      </c>
      <c r="D17" s="15">
        <f>826*3*2.28</f>
        <v>5649.8399999999992</v>
      </c>
    </row>
    <row r="18" spans="1:4">
      <c r="A18" s="7">
        <v>23</v>
      </c>
      <c r="B18" s="10" t="s">
        <v>18</v>
      </c>
      <c r="C18" s="16" t="s">
        <v>228</v>
      </c>
      <c r="D18" s="15">
        <f>826*3*1.19</f>
        <v>2948.8199999999997</v>
      </c>
    </row>
    <row r="19" spans="1:4">
      <c r="A19" s="7">
        <v>24</v>
      </c>
      <c r="B19" s="10" t="s">
        <v>19</v>
      </c>
      <c r="C19" s="16" t="s">
        <v>228</v>
      </c>
      <c r="D19" s="15">
        <f>826*3*2.66</f>
        <v>6591.4800000000005</v>
      </c>
    </row>
    <row r="20" spans="1:4">
      <c r="A20" s="7">
        <v>25</v>
      </c>
      <c r="B20" s="10" t="s">
        <v>225</v>
      </c>
      <c r="C20" s="16" t="s">
        <v>228</v>
      </c>
      <c r="D20" s="15">
        <f>826*3*0.06</f>
        <v>148.68</v>
      </c>
    </row>
    <row r="21" spans="1:4">
      <c r="A21" s="7">
        <v>26</v>
      </c>
      <c r="B21" s="11" t="s">
        <v>20</v>
      </c>
      <c r="C21" s="16" t="s">
        <v>228</v>
      </c>
      <c r="D21" s="14">
        <f>D20+D19+D18+D17+D16+D15+D14+D13+D12+D11</f>
        <v>36327.480000000003</v>
      </c>
    </row>
    <row r="22" spans="1:4">
      <c r="A22" s="7">
        <v>27</v>
      </c>
      <c r="B22" s="8" t="s">
        <v>21</v>
      </c>
      <c r="C22" s="16" t="s">
        <v>228</v>
      </c>
      <c r="D22" s="14">
        <f>D7-D21</f>
        <v>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15"/>
    </row>
    <row r="26" spans="1:4">
      <c r="A26" s="7">
        <v>33</v>
      </c>
      <c r="B26" s="9" t="s">
        <v>26</v>
      </c>
      <c r="C26" s="16" t="s">
        <v>228</v>
      </c>
      <c r="D26" s="15"/>
    </row>
    <row r="27" spans="1:4">
      <c r="A27" s="7">
        <v>35</v>
      </c>
      <c r="B27" s="9" t="s">
        <v>28</v>
      </c>
      <c r="C27" s="16" t="s">
        <v>228</v>
      </c>
      <c r="D27" s="15"/>
    </row>
    <row r="28" spans="1:4">
      <c r="A28" s="7">
        <v>36</v>
      </c>
      <c r="B28" s="9" t="s">
        <v>29</v>
      </c>
      <c r="C28" s="16" t="s">
        <v>228</v>
      </c>
      <c r="D28" s="15"/>
    </row>
    <row r="29" spans="1:4">
      <c r="A29" s="7">
        <v>42</v>
      </c>
      <c r="B29" s="9" t="s">
        <v>35</v>
      </c>
      <c r="C29" s="16" t="s">
        <v>228</v>
      </c>
      <c r="D29" s="15"/>
    </row>
    <row r="30" spans="1:4">
      <c r="A30" s="7">
        <v>68</v>
      </c>
      <c r="B30" s="9" t="s">
        <v>63</v>
      </c>
      <c r="C30" s="16" t="s">
        <v>228</v>
      </c>
      <c r="D30" s="15"/>
    </row>
    <row r="31" spans="1:4">
      <c r="A31" s="7">
        <v>83</v>
      </c>
      <c r="B31" s="9" t="s">
        <v>80</v>
      </c>
      <c r="C31" s="16" t="s">
        <v>228</v>
      </c>
      <c r="D31" s="15"/>
    </row>
    <row r="32" spans="1:4">
      <c r="A32" s="7">
        <v>94</v>
      </c>
      <c r="B32" s="9" t="s">
        <v>92</v>
      </c>
      <c r="C32" s="16" t="s">
        <v>228</v>
      </c>
      <c r="D32" s="15"/>
    </row>
    <row r="33" spans="1:4">
      <c r="A33" s="7">
        <v>97</v>
      </c>
      <c r="B33" s="9" t="s">
        <v>233</v>
      </c>
      <c r="C33" s="16" t="s">
        <v>228</v>
      </c>
      <c r="D33" s="15"/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</f>
        <v>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10035.9</v>
      </c>
    </row>
  </sheetData>
  <mergeCells count="4">
    <mergeCell ref="B23:D23"/>
    <mergeCell ref="A2:D2"/>
    <mergeCell ref="B3:D3"/>
    <mergeCell ref="B10:D10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topLeftCell="A7" workbookViewId="0">
      <selection activeCell="F21" sqref="F21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9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122797.47200000001</v>
      </c>
    </row>
    <row r="7" spans="1:4">
      <c r="A7" s="7">
        <v>2</v>
      </c>
      <c r="B7" s="9" t="s">
        <v>5</v>
      </c>
      <c r="C7" s="16" t="s">
        <v>228</v>
      </c>
      <c r="D7" s="15">
        <f>820.4*8*14.66</f>
        <v>96216.512000000002</v>
      </c>
    </row>
    <row r="8" spans="1:4">
      <c r="A8" s="7">
        <v>3</v>
      </c>
      <c r="B8" s="9" t="s">
        <v>6</v>
      </c>
      <c r="C8" s="16" t="s">
        <v>228</v>
      </c>
      <c r="D8" s="15">
        <f>820.4*8*4.05</f>
        <v>26580.959999999999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820.4*8*2.29</f>
        <v>15029.727999999999</v>
      </c>
    </row>
    <row r="12" spans="1:4">
      <c r="A12" s="7">
        <v>14</v>
      </c>
      <c r="B12" s="10" t="s">
        <v>11</v>
      </c>
      <c r="C12" s="16" t="s">
        <v>228</v>
      </c>
      <c r="D12" s="15">
        <f>820.4*8*1.85</f>
        <v>12141.92</v>
      </c>
    </row>
    <row r="13" spans="1:4">
      <c r="A13" s="7">
        <v>15</v>
      </c>
      <c r="B13" s="10" t="s">
        <v>229</v>
      </c>
      <c r="C13" s="16" t="s">
        <v>228</v>
      </c>
      <c r="D13" s="15">
        <v>0</v>
      </c>
    </row>
    <row r="14" spans="1:4">
      <c r="A14" s="7">
        <v>16</v>
      </c>
      <c r="B14" s="10" t="s">
        <v>13</v>
      </c>
      <c r="C14" s="16" t="s">
        <v>228</v>
      </c>
      <c r="D14" s="15">
        <f>820.4*8*2.28</f>
        <v>14964.095999999998</v>
      </c>
    </row>
    <row r="15" spans="1:4">
      <c r="A15" s="7">
        <v>18</v>
      </c>
      <c r="B15" s="10" t="s">
        <v>239</v>
      </c>
      <c r="C15" s="16" t="s">
        <v>228</v>
      </c>
      <c r="D15" s="15">
        <f>820.4*8*0.37</f>
        <v>2428.384</v>
      </c>
    </row>
    <row r="16" spans="1:4">
      <c r="A16" s="7">
        <v>20</v>
      </c>
      <c r="B16" s="10" t="s">
        <v>16</v>
      </c>
      <c r="C16" s="16" t="s">
        <v>228</v>
      </c>
      <c r="D16" s="15">
        <f>820.4*8*1.68</f>
        <v>11026.175999999999</v>
      </c>
    </row>
    <row r="17" spans="1:4">
      <c r="A17" s="7">
        <v>22</v>
      </c>
      <c r="B17" s="10" t="s">
        <v>17</v>
      </c>
      <c r="C17" s="16" t="s">
        <v>228</v>
      </c>
      <c r="D17" s="15">
        <f>820.4*8*2.28</f>
        <v>14964.095999999998</v>
      </c>
    </row>
    <row r="18" spans="1:4">
      <c r="A18" s="7">
        <v>23</v>
      </c>
      <c r="B18" s="10" t="s">
        <v>18</v>
      </c>
      <c r="C18" s="16" t="s">
        <v>228</v>
      </c>
      <c r="D18" s="15">
        <f>820.4*8*1.19</f>
        <v>7810.2079999999996</v>
      </c>
    </row>
    <row r="19" spans="1:4">
      <c r="A19" s="7">
        <v>24</v>
      </c>
      <c r="B19" s="10" t="s">
        <v>19</v>
      </c>
      <c r="C19" s="16" t="s">
        <v>228</v>
      </c>
      <c r="D19" s="15">
        <f>820.4*8*2.66</f>
        <v>17458.112000000001</v>
      </c>
    </row>
    <row r="20" spans="1:4">
      <c r="A20" s="7">
        <v>25</v>
      </c>
      <c r="B20" s="10" t="s">
        <v>225</v>
      </c>
      <c r="C20" s="16" t="s">
        <v>228</v>
      </c>
      <c r="D20" s="15">
        <f>820.4*8*0.06</f>
        <v>393.79199999999997</v>
      </c>
    </row>
    <row r="21" spans="1:4">
      <c r="A21" s="7">
        <v>26</v>
      </c>
      <c r="B21" s="11" t="s">
        <v>20</v>
      </c>
      <c r="C21" s="16" t="s">
        <v>228</v>
      </c>
      <c r="D21" s="14">
        <f>D20+D19+D18+D17+D16+D15+D14+D13+D12+D11</f>
        <v>96216.512000000002</v>
      </c>
    </row>
    <row r="22" spans="1:4">
      <c r="A22" s="7">
        <v>27</v>
      </c>
      <c r="B22" s="8" t="s">
        <v>21</v>
      </c>
      <c r="C22" s="16" t="s">
        <v>228</v>
      </c>
      <c r="D22" s="14">
        <f>D7-D21</f>
        <v>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15"/>
    </row>
    <row r="26" spans="1:4">
      <c r="A26" s="7">
        <v>33</v>
      </c>
      <c r="B26" s="9" t="s">
        <v>26</v>
      </c>
      <c r="C26" s="16" t="s">
        <v>228</v>
      </c>
      <c r="D26" s="15"/>
    </row>
    <row r="27" spans="1:4">
      <c r="A27" s="7">
        <v>35</v>
      </c>
      <c r="B27" s="9" t="s">
        <v>28</v>
      </c>
      <c r="C27" s="16" t="s">
        <v>228</v>
      </c>
      <c r="D27" s="15"/>
    </row>
    <row r="28" spans="1:4">
      <c r="A28" s="7">
        <v>36</v>
      </c>
      <c r="B28" s="9" t="s">
        <v>29</v>
      </c>
      <c r="C28" s="16" t="s">
        <v>228</v>
      </c>
      <c r="D28" s="15"/>
    </row>
    <row r="29" spans="1:4">
      <c r="A29" s="7">
        <v>42</v>
      </c>
      <c r="B29" s="9" t="s">
        <v>35</v>
      </c>
      <c r="C29" s="16" t="s">
        <v>228</v>
      </c>
      <c r="D29" s="15"/>
    </row>
    <row r="30" spans="1:4">
      <c r="A30" s="7">
        <v>68</v>
      </c>
      <c r="B30" s="9" t="s">
        <v>63</v>
      </c>
      <c r="C30" s="16" t="s">
        <v>228</v>
      </c>
      <c r="D30" s="15"/>
    </row>
    <row r="31" spans="1:4">
      <c r="A31" s="7">
        <v>83</v>
      </c>
      <c r="B31" s="9" t="s">
        <v>80</v>
      </c>
      <c r="C31" s="16" t="s">
        <v>228</v>
      </c>
      <c r="D31" s="15"/>
    </row>
    <row r="32" spans="1:4">
      <c r="A32" s="7">
        <v>94</v>
      </c>
      <c r="B32" s="9" t="s">
        <v>92</v>
      </c>
      <c r="C32" s="16" t="s">
        <v>228</v>
      </c>
      <c r="D32" s="15"/>
    </row>
    <row r="33" spans="1:4">
      <c r="A33" s="7">
        <v>97</v>
      </c>
      <c r="B33" s="9" t="s">
        <v>233</v>
      </c>
      <c r="C33" s="16" t="s">
        <v>228</v>
      </c>
      <c r="D33" s="15"/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</f>
        <v>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26580.959999999999</v>
      </c>
    </row>
  </sheetData>
  <mergeCells count="4">
    <mergeCell ref="B23:D23"/>
    <mergeCell ref="A2:D2"/>
    <mergeCell ref="B3:D3"/>
    <mergeCell ref="B10:D10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topLeftCell="A7" workbookViewId="0">
      <selection activeCell="H24" sqref="H24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9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123486</v>
      </c>
    </row>
    <row r="7" spans="1:4">
      <c r="A7" s="7">
        <v>2</v>
      </c>
      <c r="B7" s="9" t="s">
        <v>5</v>
      </c>
      <c r="C7" s="16" t="s">
        <v>228</v>
      </c>
      <c r="D7" s="15">
        <f>825*8*14.66</f>
        <v>96756</v>
      </c>
    </row>
    <row r="8" spans="1:4">
      <c r="A8" s="7">
        <v>3</v>
      </c>
      <c r="B8" s="9" t="s">
        <v>6</v>
      </c>
      <c r="C8" s="16" t="s">
        <v>228</v>
      </c>
      <c r="D8" s="15">
        <f>825*8*4.05</f>
        <v>26730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825*8*2.29</f>
        <v>15114</v>
      </c>
    </row>
    <row r="12" spans="1:4">
      <c r="A12" s="7">
        <v>14</v>
      </c>
      <c r="B12" s="10" t="s">
        <v>11</v>
      </c>
      <c r="C12" s="16" t="s">
        <v>228</v>
      </c>
      <c r="D12" s="15">
        <f>825*8*1.85</f>
        <v>12210</v>
      </c>
    </row>
    <row r="13" spans="1:4">
      <c r="A13" s="7">
        <v>15</v>
      </c>
      <c r="B13" s="10" t="s">
        <v>229</v>
      </c>
      <c r="C13" s="16" t="s">
        <v>228</v>
      </c>
      <c r="D13" s="15">
        <v>0</v>
      </c>
    </row>
    <row r="14" spans="1:4">
      <c r="A14" s="7">
        <v>16</v>
      </c>
      <c r="B14" s="10" t="s">
        <v>13</v>
      </c>
      <c r="C14" s="16" t="s">
        <v>228</v>
      </c>
      <c r="D14" s="15">
        <f>825*8*2.28</f>
        <v>15047.999999999998</v>
      </c>
    </row>
    <row r="15" spans="1:4">
      <c r="A15" s="7">
        <v>18</v>
      </c>
      <c r="B15" s="10" t="s">
        <v>239</v>
      </c>
      <c r="C15" s="16" t="s">
        <v>228</v>
      </c>
      <c r="D15" s="15">
        <f>825*8*0.37</f>
        <v>2442</v>
      </c>
    </row>
    <row r="16" spans="1:4">
      <c r="A16" s="7">
        <v>20</v>
      </c>
      <c r="B16" s="10" t="s">
        <v>16</v>
      </c>
      <c r="C16" s="16" t="s">
        <v>228</v>
      </c>
      <c r="D16" s="15">
        <f>825*8*1.68</f>
        <v>11088</v>
      </c>
    </row>
    <row r="17" spans="1:4">
      <c r="A17" s="7">
        <v>22</v>
      </c>
      <c r="B17" s="10" t="s">
        <v>17</v>
      </c>
      <c r="C17" s="16" t="s">
        <v>228</v>
      </c>
      <c r="D17" s="15">
        <f>825*8*2.28</f>
        <v>15047.999999999998</v>
      </c>
    </row>
    <row r="18" spans="1:4">
      <c r="A18" s="7">
        <v>23</v>
      </c>
      <c r="B18" s="10" t="s">
        <v>18</v>
      </c>
      <c r="C18" s="16" t="s">
        <v>228</v>
      </c>
      <c r="D18" s="15">
        <f>825*8*1.19</f>
        <v>7854</v>
      </c>
    </row>
    <row r="19" spans="1:4">
      <c r="A19" s="7">
        <v>24</v>
      </c>
      <c r="B19" s="10" t="s">
        <v>19</v>
      </c>
      <c r="C19" s="16" t="s">
        <v>228</v>
      </c>
      <c r="D19" s="15">
        <f>825*8*2.66</f>
        <v>17556</v>
      </c>
    </row>
    <row r="20" spans="1:4">
      <c r="A20" s="7">
        <v>25</v>
      </c>
      <c r="B20" s="10" t="s">
        <v>225</v>
      </c>
      <c r="C20" s="16" t="s">
        <v>228</v>
      </c>
      <c r="D20" s="15">
        <f>825*8*0.06</f>
        <v>396</v>
      </c>
    </row>
    <row r="21" spans="1:4">
      <c r="A21" s="7">
        <v>26</v>
      </c>
      <c r="B21" s="11" t="s">
        <v>20</v>
      </c>
      <c r="C21" s="16" t="s">
        <v>228</v>
      </c>
      <c r="D21" s="14">
        <f>D20+D19+D18+D17+D16+D15+D14+D13+D12+D11</f>
        <v>96756</v>
      </c>
    </row>
    <row r="22" spans="1:4">
      <c r="A22" s="7">
        <v>27</v>
      </c>
      <c r="B22" s="8" t="s">
        <v>21</v>
      </c>
      <c r="C22" s="16" t="s">
        <v>228</v>
      </c>
      <c r="D22" s="14">
        <f>D7-D21</f>
        <v>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15"/>
    </row>
    <row r="26" spans="1:4">
      <c r="A26" s="7">
        <v>33</v>
      </c>
      <c r="B26" s="9" t="s">
        <v>26</v>
      </c>
      <c r="C26" s="16" t="s">
        <v>228</v>
      </c>
      <c r="D26" s="15"/>
    </row>
    <row r="27" spans="1:4">
      <c r="A27" s="7">
        <v>35</v>
      </c>
      <c r="B27" s="9" t="s">
        <v>28</v>
      </c>
      <c r="C27" s="16" t="s">
        <v>228</v>
      </c>
      <c r="D27" s="15"/>
    </row>
    <row r="28" spans="1:4">
      <c r="A28" s="7">
        <v>36</v>
      </c>
      <c r="B28" s="9" t="s">
        <v>29</v>
      </c>
      <c r="C28" s="16" t="s">
        <v>228</v>
      </c>
      <c r="D28" s="15"/>
    </row>
    <row r="29" spans="1:4">
      <c r="A29" s="7">
        <v>42</v>
      </c>
      <c r="B29" s="9" t="s">
        <v>35</v>
      </c>
      <c r="C29" s="16" t="s">
        <v>228</v>
      </c>
      <c r="D29" s="15"/>
    </row>
    <row r="30" spans="1:4">
      <c r="A30" s="7">
        <v>68</v>
      </c>
      <c r="B30" s="9" t="s">
        <v>63</v>
      </c>
      <c r="C30" s="16" t="s">
        <v>228</v>
      </c>
      <c r="D30" s="15"/>
    </row>
    <row r="31" spans="1:4">
      <c r="A31" s="7">
        <v>83</v>
      </c>
      <c r="B31" s="9" t="s">
        <v>80</v>
      </c>
      <c r="C31" s="16" t="s">
        <v>228</v>
      </c>
      <c r="D31" s="15"/>
    </row>
    <row r="32" spans="1:4">
      <c r="A32" s="7">
        <v>94</v>
      </c>
      <c r="B32" s="9" t="s">
        <v>92</v>
      </c>
      <c r="C32" s="16" t="s">
        <v>228</v>
      </c>
      <c r="D32" s="15"/>
    </row>
    <row r="33" spans="1:4">
      <c r="A33" s="7">
        <v>97</v>
      </c>
      <c r="B33" s="9" t="s">
        <v>233</v>
      </c>
      <c r="C33" s="16" t="s">
        <v>228</v>
      </c>
      <c r="D33" s="15"/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</f>
        <v>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26730</v>
      </c>
    </row>
  </sheetData>
  <mergeCells count="4">
    <mergeCell ref="B23:D23"/>
    <mergeCell ref="A2:D2"/>
    <mergeCell ref="B3:D3"/>
    <mergeCell ref="B10:D10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workbookViewId="0">
      <selection activeCell="I31" sqref="I31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91"/>
      <c r="B3" s="100"/>
      <c r="C3" s="100"/>
      <c r="D3" s="100"/>
    </row>
    <row r="4" spans="1:4">
      <c r="A4" s="2"/>
      <c r="B4" s="2"/>
      <c r="C4" s="2"/>
      <c r="D4" s="13"/>
    </row>
    <row r="5" spans="1:4">
      <c r="A5" s="6" t="s">
        <v>0</v>
      </c>
      <c r="B5" s="6" t="s">
        <v>1</v>
      </c>
      <c r="C5" s="6" t="s">
        <v>2</v>
      </c>
      <c r="D5" s="6" t="s">
        <v>3</v>
      </c>
    </row>
    <row r="6" spans="1:4">
      <c r="A6" s="7">
        <v>1</v>
      </c>
      <c r="B6" s="8" t="s">
        <v>242</v>
      </c>
      <c r="C6" s="16" t="s">
        <v>228</v>
      </c>
      <c r="D6" s="14">
        <f>D7+D8</f>
        <v>23305.175999999999</v>
      </c>
    </row>
    <row r="7" spans="1:4">
      <c r="A7" s="7">
        <v>2</v>
      </c>
      <c r="B7" s="9" t="s">
        <v>5</v>
      </c>
      <c r="C7" s="16" t="s">
        <v>228</v>
      </c>
      <c r="D7" s="15">
        <f>415.2*3*14.66</f>
        <v>18260.495999999999</v>
      </c>
    </row>
    <row r="8" spans="1:4">
      <c r="A8" s="7">
        <v>3</v>
      </c>
      <c r="B8" s="9" t="s">
        <v>6</v>
      </c>
      <c r="C8" s="16" t="s">
        <v>228</v>
      </c>
      <c r="D8" s="15">
        <f>415.2*3*4.05</f>
        <v>5044.6799999999994</v>
      </c>
    </row>
    <row r="9" spans="1:4">
      <c r="A9" s="7">
        <v>10</v>
      </c>
      <c r="B9" s="7"/>
      <c r="C9" s="7"/>
      <c r="D9" s="16"/>
    </row>
    <row r="10" spans="1:4">
      <c r="A10" s="7">
        <v>11</v>
      </c>
      <c r="B10" s="97" t="s">
        <v>9</v>
      </c>
      <c r="C10" s="98"/>
      <c r="D10" s="99"/>
    </row>
    <row r="11" spans="1:4">
      <c r="A11" s="7">
        <v>12</v>
      </c>
      <c r="B11" s="10" t="s">
        <v>10</v>
      </c>
      <c r="C11" s="16" t="s">
        <v>228</v>
      </c>
      <c r="D11" s="15">
        <f>415.2*3*2.29</f>
        <v>2852.424</v>
      </c>
    </row>
    <row r="12" spans="1:4">
      <c r="A12" s="7">
        <v>14</v>
      </c>
      <c r="B12" s="10" t="s">
        <v>11</v>
      </c>
      <c r="C12" s="16" t="s">
        <v>228</v>
      </c>
      <c r="D12" s="15">
        <f>415.2*3*1.85</f>
        <v>2304.36</v>
      </c>
    </row>
    <row r="13" spans="1:4">
      <c r="A13" s="7">
        <v>15</v>
      </c>
      <c r="B13" s="10" t="s">
        <v>229</v>
      </c>
      <c r="C13" s="16" t="s">
        <v>228</v>
      </c>
      <c r="D13" s="15">
        <v>0</v>
      </c>
    </row>
    <row r="14" spans="1:4">
      <c r="A14" s="7">
        <v>16</v>
      </c>
      <c r="B14" s="10" t="s">
        <v>13</v>
      </c>
      <c r="C14" s="16" t="s">
        <v>228</v>
      </c>
      <c r="D14" s="15">
        <f>415.2*3*2.28</f>
        <v>2839.9679999999994</v>
      </c>
    </row>
    <row r="15" spans="1:4">
      <c r="A15" s="7">
        <v>18</v>
      </c>
      <c r="B15" s="10" t="s">
        <v>239</v>
      </c>
      <c r="C15" s="16" t="s">
        <v>228</v>
      </c>
      <c r="D15" s="15">
        <f>415.2*3*0.37</f>
        <v>460.87199999999996</v>
      </c>
    </row>
    <row r="16" spans="1:4">
      <c r="A16" s="7">
        <v>20</v>
      </c>
      <c r="B16" s="10" t="s">
        <v>16</v>
      </c>
      <c r="C16" s="16" t="s">
        <v>228</v>
      </c>
      <c r="D16" s="15">
        <f>415.2*3*1.68</f>
        <v>2092.6079999999997</v>
      </c>
    </row>
    <row r="17" spans="1:4">
      <c r="A17" s="7">
        <v>22</v>
      </c>
      <c r="B17" s="10" t="s">
        <v>17</v>
      </c>
      <c r="C17" s="16" t="s">
        <v>228</v>
      </c>
      <c r="D17" s="15">
        <f>415.2*3*2.28</f>
        <v>2839.9679999999994</v>
      </c>
    </row>
    <row r="18" spans="1:4">
      <c r="A18" s="7">
        <v>23</v>
      </c>
      <c r="B18" s="10" t="s">
        <v>18</v>
      </c>
      <c r="C18" s="16" t="s">
        <v>228</v>
      </c>
      <c r="D18" s="15">
        <f>415.2*3*1.19</f>
        <v>1482.2639999999999</v>
      </c>
    </row>
    <row r="19" spans="1:4">
      <c r="A19" s="7">
        <v>24</v>
      </c>
      <c r="B19" s="10" t="s">
        <v>19</v>
      </c>
      <c r="C19" s="16" t="s">
        <v>228</v>
      </c>
      <c r="D19" s="15">
        <f>415.2*3*2.66</f>
        <v>3313.2959999999998</v>
      </c>
    </row>
    <row r="20" spans="1:4">
      <c r="A20" s="7">
        <v>25</v>
      </c>
      <c r="B20" s="10" t="s">
        <v>225</v>
      </c>
      <c r="C20" s="16" t="s">
        <v>228</v>
      </c>
      <c r="D20" s="15">
        <f>415.2*3*0.06</f>
        <v>74.73599999999999</v>
      </c>
    </row>
    <row r="21" spans="1:4">
      <c r="A21" s="7">
        <v>26</v>
      </c>
      <c r="B21" s="11" t="s">
        <v>20</v>
      </c>
      <c r="C21" s="16" t="s">
        <v>228</v>
      </c>
      <c r="D21" s="14">
        <f>D20+D19+D18+D17+D16+D15+D14+D13+D12+D11</f>
        <v>18260.495999999999</v>
      </c>
    </row>
    <row r="22" spans="1:4">
      <c r="A22" s="7">
        <v>27</v>
      </c>
      <c r="B22" s="8" t="s">
        <v>21</v>
      </c>
      <c r="C22" s="16" t="s">
        <v>228</v>
      </c>
      <c r="D22" s="14">
        <f>D7-D21</f>
        <v>0</v>
      </c>
    </row>
    <row r="23" spans="1:4">
      <c r="A23" s="7">
        <v>29</v>
      </c>
      <c r="B23" s="97" t="s">
        <v>22</v>
      </c>
      <c r="C23" s="98"/>
      <c r="D23" s="99"/>
    </row>
    <row r="24" spans="1:4">
      <c r="A24" s="7">
        <v>30</v>
      </c>
      <c r="B24" s="8" t="s">
        <v>23</v>
      </c>
      <c r="C24" s="16" t="s">
        <v>228</v>
      </c>
      <c r="D24" s="14"/>
    </row>
    <row r="25" spans="1:4">
      <c r="A25" s="7">
        <v>31</v>
      </c>
      <c r="B25" s="9" t="s">
        <v>24</v>
      </c>
      <c r="C25" s="16" t="s">
        <v>228</v>
      </c>
      <c r="D25" s="15"/>
    </row>
    <row r="26" spans="1:4">
      <c r="A26" s="7">
        <v>33</v>
      </c>
      <c r="B26" s="9" t="s">
        <v>26</v>
      </c>
      <c r="C26" s="16" t="s">
        <v>228</v>
      </c>
      <c r="D26" s="15"/>
    </row>
    <row r="27" spans="1:4">
      <c r="A27" s="7">
        <v>35</v>
      </c>
      <c r="B27" s="9" t="s">
        <v>28</v>
      </c>
      <c r="C27" s="16" t="s">
        <v>228</v>
      </c>
      <c r="D27" s="15"/>
    </row>
    <row r="28" spans="1:4">
      <c r="A28" s="7">
        <v>36</v>
      </c>
      <c r="B28" s="9" t="s">
        <v>29</v>
      </c>
      <c r="C28" s="16" t="s">
        <v>228</v>
      </c>
      <c r="D28" s="15"/>
    </row>
    <row r="29" spans="1:4">
      <c r="A29" s="7">
        <v>42</v>
      </c>
      <c r="B29" s="9" t="s">
        <v>35</v>
      </c>
      <c r="C29" s="16" t="s">
        <v>228</v>
      </c>
      <c r="D29" s="15"/>
    </row>
    <row r="30" spans="1:4">
      <c r="A30" s="7">
        <v>68</v>
      </c>
      <c r="B30" s="9" t="s">
        <v>63</v>
      </c>
      <c r="C30" s="16" t="s">
        <v>228</v>
      </c>
      <c r="D30" s="15"/>
    </row>
    <row r="31" spans="1:4">
      <c r="A31" s="7">
        <v>83</v>
      </c>
      <c r="B31" s="9" t="s">
        <v>80</v>
      </c>
      <c r="C31" s="16" t="s">
        <v>228</v>
      </c>
      <c r="D31" s="15"/>
    </row>
    <row r="32" spans="1:4">
      <c r="A32" s="7">
        <v>94</v>
      </c>
      <c r="B32" s="9" t="s">
        <v>92</v>
      </c>
      <c r="C32" s="16" t="s">
        <v>228</v>
      </c>
      <c r="D32" s="15"/>
    </row>
    <row r="33" spans="1:4">
      <c r="A33" s="7">
        <v>97</v>
      </c>
      <c r="B33" s="9" t="s">
        <v>233</v>
      </c>
      <c r="C33" s="16" t="s">
        <v>228</v>
      </c>
      <c r="D33" s="15"/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D33+D32+D31+D30+D29+D28+D27+D26+D25</f>
        <v>0</v>
      </c>
    </row>
    <row r="35" spans="1:4">
      <c r="A35" s="7">
        <v>103</v>
      </c>
      <c r="B35" s="8" t="s">
        <v>21</v>
      </c>
      <c r="C35" s="16" t="s">
        <v>228</v>
      </c>
      <c r="D35" s="14">
        <f>D8-D34</f>
        <v>5044.6799999999994</v>
      </c>
    </row>
  </sheetData>
  <mergeCells count="4">
    <mergeCell ref="B23:D23"/>
    <mergeCell ref="A2:D2"/>
    <mergeCell ref="B3:D3"/>
    <mergeCell ref="B10:D10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104"/>
  <sheetViews>
    <sheetView workbookViewId="0">
      <selection sqref="A1:XFD1048576"/>
    </sheetView>
  </sheetViews>
  <sheetFormatPr defaultRowHeight="12"/>
  <cols>
    <col min="1" max="1" width="2.88671875" style="76" customWidth="1"/>
    <col min="2" max="2" width="39.77734375" style="76" customWidth="1"/>
    <col min="3" max="3" width="10" style="76" customWidth="1"/>
    <col min="4" max="4" width="14.5546875" style="89" customWidth="1"/>
    <col min="5" max="16384" width="8.88671875" style="76"/>
  </cols>
  <sheetData>
    <row r="1" spans="1:4">
      <c r="A1" s="74"/>
      <c r="B1" s="74"/>
      <c r="C1" s="74"/>
      <c r="D1" s="75"/>
    </row>
    <row r="2" spans="1:4" ht="30" customHeight="1">
      <c r="A2" s="102" t="s">
        <v>227</v>
      </c>
      <c r="B2" s="102"/>
      <c r="C2" s="102"/>
      <c r="D2" s="102"/>
    </row>
    <row r="3" spans="1:4">
      <c r="A3" s="77"/>
      <c r="B3" s="103"/>
      <c r="C3" s="103"/>
      <c r="D3" s="103"/>
    </row>
    <row r="4" spans="1:4">
      <c r="A4" s="74"/>
      <c r="B4" s="74"/>
      <c r="C4" s="74"/>
      <c r="D4" s="78"/>
    </row>
    <row r="5" spans="1:4">
      <c r="A5" s="79" t="s">
        <v>0</v>
      </c>
      <c r="B5" s="79" t="s">
        <v>1</v>
      </c>
      <c r="C5" s="79" t="s">
        <v>2</v>
      </c>
      <c r="D5" s="79" t="s">
        <v>3</v>
      </c>
    </row>
    <row r="6" spans="1:4">
      <c r="A6" s="80">
        <v>1</v>
      </c>
      <c r="B6" s="81" t="s">
        <v>224</v>
      </c>
      <c r="C6" s="80" t="s">
        <v>4</v>
      </c>
      <c r="D6" s="82">
        <f>D7+D8</f>
        <v>239167.08000000002</v>
      </c>
    </row>
    <row r="7" spans="1:4">
      <c r="A7" s="80">
        <v>2</v>
      </c>
      <c r="B7" s="83" t="s">
        <v>5</v>
      </c>
      <c r="C7" s="80" t="s">
        <v>4</v>
      </c>
      <c r="D7" s="84">
        <f>12*10.64*1369.8</f>
        <v>174896.06400000001</v>
      </c>
    </row>
    <row r="8" spans="1:4">
      <c r="A8" s="80">
        <v>3</v>
      </c>
      <c r="B8" s="83" t="s">
        <v>6</v>
      </c>
      <c r="C8" s="80" t="s">
        <v>4</v>
      </c>
      <c r="D8" s="84">
        <f>12*3.91*1369.8</f>
        <v>64271.016000000003</v>
      </c>
    </row>
    <row r="9" spans="1:4">
      <c r="A9" s="80">
        <v>4</v>
      </c>
      <c r="B9" s="81" t="s">
        <v>7</v>
      </c>
      <c r="C9" s="80" t="s">
        <v>4</v>
      </c>
      <c r="D9" s="82"/>
    </row>
    <row r="10" spans="1:4">
      <c r="A10" s="80">
        <v>5</v>
      </c>
      <c r="B10" s="83" t="s">
        <v>5</v>
      </c>
      <c r="C10" s="80" t="s">
        <v>4</v>
      </c>
      <c r="D10" s="85"/>
    </row>
    <row r="11" spans="1:4">
      <c r="A11" s="80">
        <v>6</v>
      </c>
      <c r="B11" s="83" t="s">
        <v>6</v>
      </c>
      <c r="C11" s="80" t="s">
        <v>4</v>
      </c>
      <c r="D11" s="85"/>
    </row>
    <row r="12" spans="1:4">
      <c r="A12" s="80">
        <v>7</v>
      </c>
      <c r="B12" s="81" t="s">
        <v>8</v>
      </c>
      <c r="C12" s="80" t="s">
        <v>4</v>
      </c>
      <c r="D12" s="82"/>
    </row>
    <row r="13" spans="1:4">
      <c r="A13" s="80">
        <v>8</v>
      </c>
      <c r="B13" s="83" t="s">
        <v>5</v>
      </c>
      <c r="C13" s="80" t="s">
        <v>4</v>
      </c>
      <c r="D13" s="84"/>
    </row>
    <row r="14" spans="1:4">
      <c r="A14" s="80">
        <v>9</v>
      </c>
      <c r="B14" s="83" t="s">
        <v>6</v>
      </c>
      <c r="C14" s="80" t="s">
        <v>4</v>
      </c>
      <c r="D14" s="84"/>
    </row>
    <row r="15" spans="1:4">
      <c r="A15" s="80">
        <v>10</v>
      </c>
      <c r="B15" s="80"/>
      <c r="C15" s="80"/>
      <c r="D15" s="85"/>
    </row>
    <row r="16" spans="1:4">
      <c r="A16" s="80">
        <v>11</v>
      </c>
      <c r="B16" s="104" t="s">
        <v>9</v>
      </c>
      <c r="C16" s="105"/>
      <c r="D16" s="106"/>
    </row>
    <row r="17" spans="1:4">
      <c r="A17" s="80">
        <v>12</v>
      </c>
      <c r="B17" s="86" t="s">
        <v>10</v>
      </c>
      <c r="C17" s="80" t="s">
        <v>4</v>
      </c>
      <c r="D17" s="84">
        <f>12*1.93*1369.8</f>
        <v>31724.567999999999</v>
      </c>
    </row>
    <row r="18" spans="1:4">
      <c r="A18" s="80">
        <v>14</v>
      </c>
      <c r="B18" s="86" t="s">
        <v>11</v>
      </c>
      <c r="C18" s="80" t="s">
        <v>4</v>
      </c>
      <c r="D18" s="84">
        <f>12*1.55*1369.8</f>
        <v>25478.280000000002</v>
      </c>
    </row>
    <row r="19" spans="1:4">
      <c r="A19" s="80">
        <v>15</v>
      </c>
      <c r="B19" s="86" t="s">
        <v>12</v>
      </c>
      <c r="C19" s="80" t="s">
        <v>4</v>
      </c>
      <c r="D19" s="84">
        <v>0</v>
      </c>
    </row>
    <row r="20" spans="1:4">
      <c r="A20" s="80">
        <v>16</v>
      </c>
      <c r="B20" s="86" t="s">
        <v>13</v>
      </c>
      <c r="C20" s="80" t="s">
        <v>4</v>
      </c>
      <c r="D20" s="84">
        <f>12*1.65*1369.8</f>
        <v>27122.039999999994</v>
      </c>
    </row>
    <row r="21" spans="1:4">
      <c r="A21" s="80">
        <v>18</v>
      </c>
      <c r="B21" s="86" t="s">
        <v>14</v>
      </c>
      <c r="C21" s="80" t="s">
        <v>4</v>
      </c>
      <c r="D21" s="84">
        <v>0</v>
      </c>
    </row>
    <row r="22" spans="1:4">
      <c r="A22" s="80">
        <v>20</v>
      </c>
      <c r="B22" s="86" t="s">
        <v>15</v>
      </c>
      <c r="C22" s="80" t="s">
        <v>4</v>
      </c>
      <c r="D22" s="84">
        <v>0</v>
      </c>
    </row>
    <row r="23" spans="1:4">
      <c r="A23" s="80">
        <v>22</v>
      </c>
      <c r="B23" s="86" t="s">
        <v>16</v>
      </c>
      <c r="C23" s="80" t="s">
        <v>4</v>
      </c>
      <c r="D23" s="84">
        <f>12*0.78*1369.8</f>
        <v>12821.328</v>
      </c>
    </row>
    <row r="24" spans="1:4">
      <c r="A24" s="80">
        <v>23</v>
      </c>
      <c r="B24" s="86" t="s">
        <v>17</v>
      </c>
      <c r="C24" s="80" t="s">
        <v>4</v>
      </c>
      <c r="D24" s="84">
        <f>12*1.36*1369.8</f>
        <v>22355.135999999999</v>
      </c>
    </row>
    <row r="25" spans="1:4">
      <c r="A25" s="80">
        <v>24</v>
      </c>
      <c r="B25" s="86" t="s">
        <v>18</v>
      </c>
      <c r="C25" s="80" t="s">
        <v>4</v>
      </c>
      <c r="D25" s="84">
        <f>12*0.85*1369.8</f>
        <v>13971.96</v>
      </c>
    </row>
    <row r="26" spans="1:4">
      <c r="A26" s="80">
        <v>25</v>
      </c>
      <c r="B26" s="86" t="s">
        <v>19</v>
      </c>
      <c r="C26" s="80" t="s">
        <v>4</v>
      </c>
      <c r="D26" s="84">
        <f>12*2.49*1369.8</f>
        <v>40929.624000000003</v>
      </c>
    </row>
    <row r="27" spans="1:4">
      <c r="A27" s="80">
        <v>26</v>
      </c>
      <c r="B27" s="86" t="s">
        <v>225</v>
      </c>
      <c r="C27" s="80" t="s">
        <v>4</v>
      </c>
      <c r="D27" s="84">
        <f>12*0.029*1369.8</f>
        <v>476.69040000000001</v>
      </c>
    </row>
    <row r="28" spans="1:4">
      <c r="A28" s="80">
        <v>27</v>
      </c>
      <c r="B28" s="87" t="s">
        <v>20</v>
      </c>
      <c r="C28" s="80" t="s">
        <v>4</v>
      </c>
      <c r="D28" s="82">
        <f>D27+D26+D25+D24+D23+D22+D21+D20+D19+D18+D17</f>
        <v>174879.62639999998</v>
      </c>
    </row>
    <row r="29" spans="1:4">
      <c r="A29" s="80">
        <v>28</v>
      </c>
      <c r="B29" s="81" t="s">
        <v>21</v>
      </c>
      <c r="C29" s="80" t="s">
        <v>4</v>
      </c>
      <c r="D29" s="82"/>
    </row>
    <row r="30" spans="1:4">
      <c r="A30" s="80">
        <v>29</v>
      </c>
      <c r="B30" s="104" t="s">
        <v>22</v>
      </c>
      <c r="C30" s="105"/>
      <c r="D30" s="106"/>
    </row>
    <row r="31" spans="1:4">
      <c r="A31" s="80">
        <v>30</v>
      </c>
      <c r="B31" s="81" t="s">
        <v>23</v>
      </c>
      <c r="C31" s="80" t="s">
        <v>4</v>
      </c>
      <c r="D31" s="82"/>
    </row>
    <row r="32" spans="1:4">
      <c r="A32" s="80">
        <v>31</v>
      </c>
      <c r="B32" s="83" t="s">
        <v>24</v>
      </c>
      <c r="C32" s="80" t="s">
        <v>4</v>
      </c>
      <c r="D32" s="84"/>
    </row>
    <row r="33" spans="1:4">
      <c r="A33" s="80">
        <v>32</v>
      </c>
      <c r="B33" s="83" t="s">
        <v>25</v>
      </c>
      <c r="C33" s="80" t="s">
        <v>4</v>
      </c>
      <c r="D33" s="84"/>
    </row>
    <row r="34" spans="1:4">
      <c r="A34" s="80">
        <v>33</v>
      </c>
      <c r="B34" s="83" t="s">
        <v>26</v>
      </c>
      <c r="C34" s="80" t="s">
        <v>4</v>
      </c>
      <c r="D34" s="84"/>
    </row>
    <row r="35" spans="1:4">
      <c r="A35" s="80">
        <v>34</v>
      </c>
      <c r="B35" s="83" t="s">
        <v>27</v>
      </c>
      <c r="C35" s="80" t="s">
        <v>4</v>
      </c>
      <c r="D35" s="84"/>
    </row>
    <row r="36" spans="1:4">
      <c r="A36" s="80">
        <v>35</v>
      </c>
      <c r="B36" s="83" t="s">
        <v>28</v>
      </c>
      <c r="C36" s="80" t="s">
        <v>4</v>
      </c>
      <c r="D36" s="84"/>
    </row>
    <row r="37" spans="1:4">
      <c r="A37" s="80">
        <v>36</v>
      </c>
      <c r="B37" s="83" t="s">
        <v>29</v>
      </c>
      <c r="C37" s="80" t="s">
        <v>4</v>
      </c>
      <c r="D37" s="84"/>
    </row>
    <row r="38" spans="1:4">
      <c r="A38" s="80">
        <v>37</v>
      </c>
      <c r="B38" s="83" t="s">
        <v>30</v>
      </c>
      <c r="C38" s="80" t="s">
        <v>4</v>
      </c>
      <c r="D38" s="84"/>
    </row>
    <row r="39" spans="1:4">
      <c r="A39" s="80">
        <v>38</v>
      </c>
      <c r="B39" s="83" t="s">
        <v>31</v>
      </c>
      <c r="C39" s="80" t="s">
        <v>4</v>
      </c>
      <c r="D39" s="84"/>
    </row>
    <row r="40" spans="1:4">
      <c r="A40" s="80">
        <v>39</v>
      </c>
      <c r="B40" s="83" t="s">
        <v>32</v>
      </c>
      <c r="C40" s="80" t="s">
        <v>4</v>
      </c>
      <c r="D40" s="84"/>
    </row>
    <row r="41" spans="1:4">
      <c r="A41" s="80">
        <v>40</v>
      </c>
      <c r="B41" s="83" t="s">
        <v>33</v>
      </c>
      <c r="C41" s="80" t="s">
        <v>4</v>
      </c>
      <c r="D41" s="84"/>
    </row>
    <row r="42" spans="1:4">
      <c r="A42" s="80">
        <v>41</v>
      </c>
      <c r="B42" s="83" t="s">
        <v>34</v>
      </c>
      <c r="C42" s="80" t="s">
        <v>4</v>
      </c>
      <c r="D42" s="84"/>
    </row>
    <row r="43" spans="1:4">
      <c r="A43" s="80">
        <v>42</v>
      </c>
      <c r="B43" s="83" t="s">
        <v>35</v>
      </c>
      <c r="C43" s="80" t="s">
        <v>4</v>
      </c>
      <c r="D43" s="84"/>
    </row>
    <row r="44" spans="1:4">
      <c r="A44" s="80">
        <v>43</v>
      </c>
      <c r="B44" s="83" t="s">
        <v>36</v>
      </c>
      <c r="C44" s="80" t="s">
        <v>4</v>
      </c>
      <c r="D44" s="84"/>
    </row>
    <row r="45" spans="1:4">
      <c r="A45" s="80">
        <v>44</v>
      </c>
      <c r="B45" s="83" t="s">
        <v>37</v>
      </c>
      <c r="C45" s="80" t="s">
        <v>4</v>
      </c>
      <c r="D45" s="84"/>
    </row>
    <row r="46" spans="1:4">
      <c r="A46" s="80">
        <v>45</v>
      </c>
      <c r="B46" s="83" t="s">
        <v>38</v>
      </c>
      <c r="C46" s="80" t="s">
        <v>4</v>
      </c>
      <c r="D46" s="84"/>
    </row>
    <row r="47" spans="1:4">
      <c r="A47" s="80">
        <v>46</v>
      </c>
      <c r="B47" s="83" t="s">
        <v>39</v>
      </c>
      <c r="C47" s="80" t="s">
        <v>4</v>
      </c>
      <c r="D47" s="84"/>
    </row>
    <row r="48" spans="1:4">
      <c r="A48" s="80">
        <v>47</v>
      </c>
      <c r="B48" s="83" t="s">
        <v>40</v>
      </c>
      <c r="C48" s="80" t="s">
        <v>4</v>
      </c>
      <c r="D48" s="84"/>
    </row>
    <row r="49" spans="1:4">
      <c r="A49" s="80">
        <v>48</v>
      </c>
      <c r="B49" s="83" t="s">
        <v>41</v>
      </c>
      <c r="C49" s="80" t="s">
        <v>4</v>
      </c>
      <c r="D49" s="84"/>
    </row>
    <row r="50" spans="1:4">
      <c r="A50" s="80">
        <v>49</v>
      </c>
      <c r="B50" s="83" t="s">
        <v>42</v>
      </c>
      <c r="C50" s="80" t="s">
        <v>4</v>
      </c>
      <c r="D50" s="84"/>
    </row>
    <row r="51" spans="1:4">
      <c r="A51" s="80">
        <v>50</v>
      </c>
      <c r="B51" s="83" t="s">
        <v>43</v>
      </c>
      <c r="C51" s="80" t="s">
        <v>4</v>
      </c>
      <c r="D51" s="84"/>
    </row>
    <row r="52" spans="1:4">
      <c r="A52" s="80">
        <v>51</v>
      </c>
      <c r="B52" s="83" t="s">
        <v>44</v>
      </c>
      <c r="C52" s="80" t="s">
        <v>4</v>
      </c>
      <c r="D52" s="84"/>
    </row>
    <row r="53" spans="1:4">
      <c r="A53" s="80">
        <v>52</v>
      </c>
      <c r="B53" s="83" t="s">
        <v>45</v>
      </c>
      <c r="C53" s="80" t="s">
        <v>4</v>
      </c>
      <c r="D53" s="84"/>
    </row>
    <row r="54" spans="1:4">
      <c r="A54" s="80">
        <v>53</v>
      </c>
      <c r="B54" s="83" t="s">
        <v>46</v>
      </c>
      <c r="C54" s="80" t="s">
        <v>4</v>
      </c>
      <c r="D54" s="84"/>
    </row>
    <row r="55" spans="1:4">
      <c r="A55" s="80">
        <v>54</v>
      </c>
      <c r="B55" s="83" t="s">
        <v>47</v>
      </c>
      <c r="C55" s="80" t="s">
        <v>4</v>
      </c>
      <c r="D55" s="84"/>
    </row>
    <row r="56" spans="1:4">
      <c r="A56" s="80">
        <v>55</v>
      </c>
      <c r="B56" s="83" t="s">
        <v>48</v>
      </c>
      <c r="C56" s="80" t="s">
        <v>4</v>
      </c>
      <c r="D56" s="84"/>
    </row>
    <row r="57" spans="1:4">
      <c r="A57" s="80">
        <v>56</v>
      </c>
      <c r="B57" s="83" t="s">
        <v>49</v>
      </c>
      <c r="C57" s="80" t="s">
        <v>4</v>
      </c>
      <c r="D57" s="84"/>
    </row>
    <row r="58" spans="1:4">
      <c r="A58" s="80">
        <v>57</v>
      </c>
      <c r="B58" s="83" t="s">
        <v>50</v>
      </c>
      <c r="C58" s="80" t="s">
        <v>4</v>
      </c>
      <c r="D58" s="84"/>
    </row>
    <row r="59" spans="1:4">
      <c r="A59" s="80">
        <v>58</v>
      </c>
      <c r="B59" s="83" t="s">
        <v>51</v>
      </c>
      <c r="C59" s="80" t="s">
        <v>4</v>
      </c>
      <c r="D59" s="84"/>
    </row>
    <row r="60" spans="1:4">
      <c r="A60" s="80">
        <v>59</v>
      </c>
      <c r="B60" s="83" t="s">
        <v>52</v>
      </c>
      <c r="C60" s="80" t="s">
        <v>4</v>
      </c>
      <c r="D60" s="84"/>
    </row>
    <row r="61" spans="1:4">
      <c r="A61" s="80">
        <v>60</v>
      </c>
      <c r="B61" s="83" t="s">
        <v>53</v>
      </c>
      <c r="C61" s="80" t="s">
        <v>4</v>
      </c>
      <c r="D61" s="84"/>
    </row>
    <row r="62" spans="1:4">
      <c r="A62" s="80">
        <v>61</v>
      </c>
      <c r="B62" s="83" t="s">
        <v>54</v>
      </c>
      <c r="C62" s="80" t="s">
        <v>4</v>
      </c>
      <c r="D62" s="84"/>
    </row>
    <row r="63" spans="1:4">
      <c r="A63" s="80">
        <v>62</v>
      </c>
      <c r="B63" s="83" t="s">
        <v>55</v>
      </c>
      <c r="C63" s="80" t="s">
        <v>4</v>
      </c>
      <c r="D63" s="84"/>
    </row>
    <row r="64" spans="1:4">
      <c r="A64" s="80">
        <v>63</v>
      </c>
      <c r="B64" s="83" t="s">
        <v>56</v>
      </c>
      <c r="C64" s="80" t="s">
        <v>4</v>
      </c>
      <c r="D64" s="84"/>
    </row>
    <row r="65" spans="1:4">
      <c r="A65" s="80">
        <v>64</v>
      </c>
      <c r="B65" s="83" t="s">
        <v>57</v>
      </c>
      <c r="C65" s="80" t="s">
        <v>4</v>
      </c>
      <c r="D65" s="84"/>
    </row>
    <row r="66" spans="1:4">
      <c r="A66" s="80">
        <v>65</v>
      </c>
      <c r="B66" s="83" t="s">
        <v>58</v>
      </c>
      <c r="C66" s="80" t="s">
        <v>4</v>
      </c>
      <c r="D66" s="84"/>
    </row>
    <row r="67" spans="1:4" ht="24">
      <c r="A67" s="80">
        <v>66</v>
      </c>
      <c r="B67" s="88" t="s">
        <v>59</v>
      </c>
      <c r="C67" s="80" t="s">
        <v>4</v>
      </c>
      <c r="D67" s="84"/>
    </row>
    <row r="68" spans="1:4">
      <c r="A68" s="80">
        <v>67</v>
      </c>
      <c r="B68" s="83" t="s">
        <v>60</v>
      </c>
      <c r="C68" s="80" t="s">
        <v>4</v>
      </c>
      <c r="D68" s="84"/>
    </row>
    <row r="69" spans="1:4">
      <c r="A69" s="80">
        <v>68</v>
      </c>
      <c r="B69" s="83" t="s">
        <v>61</v>
      </c>
      <c r="C69" s="80" t="s">
        <v>4</v>
      </c>
      <c r="D69" s="84"/>
    </row>
    <row r="70" spans="1:4">
      <c r="A70" s="80">
        <v>69</v>
      </c>
      <c r="B70" s="83" t="s">
        <v>62</v>
      </c>
      <c r="C70" s="80" t="s">
        <v>4</v>
      </c>
      <c r="D70" s="84"/>
    </row>
    <row r="71" spans="1:4">
      <c r="A71" s="80">
        <v>70</v>
      </c>
      <c r="B71" s="83" t="s">
        <v>63</v>
      </c>
      <c r="C71" s="80" t="s">
        <v>4</v>
      </c>
      <c r="D71" s="84"/>
    </row>
    <row r="72" spans="1:4">
      <c r="A72" s="80">
        <v>71</v>
      </c>
      <c r="B72" s="83" t="s">
        <v>64</v>
      </c>
      <c r="C72" s="80" t="s">
        <v>4</v>
      </c>
      <c r="D72" s="84"/>
    </row>
    <row r="73" spans="1:4">
      <c r="A73" s="80">
        <v>72</v>
      </c>
      <c r="B73" s="83" t="s">
        <v>65</v>
      </c>
      <c r="C73" s="80" t="s">
        <v>4</v>
      </c>
      <c r="D73" s="84"/>
    </row>
    <row r="74" spans="1:4">
      <c r="A74" s="80">
        <v>73</v>
      </c>
      <c r="B74" s="83" t="s">
        <v>66</v>
      </c>
      <c r="C74" s="80" t="s">
        <v>4</v>
      </c>
      <c r="D74" s="84"/>
    </row>
    <row r="75" spans="1:4">
      <c r="A75" s="80">
        <v>74</v>
      </c>
      <c r="B75" s="83" t="s">
        <v>67</v>
      </c>
      <c r="C75" s="80" t="s">
        <v>4</v>
      </c>
      <c r="D75" s="84"/>
    </row>
    <row r="76" spans="1:4">
      <c r="A76" s="80">
        <v>75</v>
      </c>
      <c r="B76" s="83" t="s">
        <v>68</v>
      </c>
      <c r="C76" s="80" t="s">
        <v>4</v>
      </c>
      <c r="D76" s="84"/>
    </row>
    <row r="77" spans="1:4">
      <c r="A77" s="80">
        <v>76</v>
      </c>
      <c r="B77" s="83" t="s">
        <v>69</v>
      </c>
      <c r="C77" s="80" t="s">
        <v>4</v>
      </c>
      <c r="D77" s="84"/>
    </row>
    <row r="78" spans="1:4">
      <c r="A78" s="80">
        <v>77</v>
      </c>
      <c r="B78" s="83" t="s">
        <v>70</v>
      </c>
      <c r="C78" s="80" t="s">
        <v>4</v>
      </c>
      <c r="D78" s="84"/>
    </row>
    <row r="79" spans="1:4">
      <c r="A79" s="80">
        <v>78</v>
      </c>
      <c r="B79" s="83" t="s">
        <v>71</v>
      </c>
      <c r="C79" s="80" t="s">
        <v>4</v>
      </c>
      <c r="D79" s="84"/>
    </row>
    <row r="80" spans="1:4">
      <c r="A80" s="80">
        <v>79</v>
      </c>
      <c r="B80" s="83" t="s">
        <v>72</v>
      </c>
      <c r="C80" s="80" t="s">
        <v>4</v>
      </c>
      <c r="D80" s="84"/>
    </row>
    <row r="81" spans="1:4">
      <c r="A81" s="80">
        <v>80</v>
      </c>
      <c r="B81" s="83" t="s">
        <v>73</v>
      </c>
      <c r="C81" s="80" t="s">
        <v>4</v>
      </c>
      <c r="D81" s="84"/>
    </row>
    <row r="82" spans="1:4">
      <c r="A82" s="80">
        <v>81</v>
      </c>
      <c r="B82" s="83" t="s">
        <v>74</v>
      </c>
      <c r="C82" s="80" t="s">
        <v>4</v>
      </c>
      <c r="D82" s="84"/>
    </row>
    <row r="83" spans="1:4">
      <c r="A83" s="80">
        <v>82</v>
      </c>
      <c r="B83" s="83" t="s">
        <v>75</v>
      </c>
      <c r="C83" s="80" t="s">
        <v>4</v>
      </c>
      <c r="D83" s="84"/>
    </row>
    <row r="84" spans="1:4">
      <c r="A84" s="80">
        <v>83</v>
      </c>
      <c r="B84" s="83" t="s">
        <v>76</v>
      </c>
      <c r="C84" s="80" t="s">
        <v>4</v>
      </c>
      <c r="D84" s="84"/>
    </row>
    <row r="85" spans="1:4">
      <c r="A85" s="80">
        <v>84</v>
      </c>
      <c r="B85" s="83" t="s">
        <v>77</v>
      </c>
      <c r="C85" s="80" t="s">
        <v>4</v>
      </c>
      <c r="D85" s="84"/>
    </row>
    <row r="86" spans="1:4">
      <c r="A86" s="80">
        <v>85</v>
      </c>
      <c r="B86" s="83" t="s">
        <v>78</v>
      </c>
      <c r="C86" s="80" t="s">
        <v>4</v>
      </c>
      <c r="D86" s="84"/>
    </row>
    <row r="87" spans="1:4">
      <c r="A87" s="80">
        <v>86</v>
      </c>
      <c r="B87" s="83" t="s">
        <v>79</v>
      </c>
      <c r="C87" s="80" t="s">
        <v>4</v>
      </c>
      <c r="D87" s="84"/>
    </row>
    <row r="88" spans="1:4">
      <c r="A88" s="80">
        <v>87</v>
      </c>
      <c r="B88" s="83" t="s">
        <v>80</v>
      </c>
      <c r="C88" s="80" t="s">
        <v>4</v>
      </c>
      <c r="D88" s="84"/>
    </row>
    <row r="89" spans="1:4">
      <c r="A89" s="80">
        <v>88</v>
      </c>
      <c r="B89" s="83" t="s">
        <v>81</v>
      </c>
      <c r="C89" s="80" t="s">
        <v>4</v>
      </c>
      <c r="D89" s="84"/>
    </row>
    <row r="90" spans="1:4">
      <c r="A90" s="80">
        <v>89</v>
      </c>
      <c r="B90" s="83" t="s">
        <v>82</v>
      </c>
      <c r="C90" s="80" t="s">
        <v>4</v>
      </c>
      <c r="D90" s="84"/>
    </row>
    <row r="91" spans="1:4">
      <c r="A91" s="80">
        <v>90</v>
      </c>
      <c r="B91" s="83" t="s">
        <v>83</v>
      </c>
      <c r="C91" s="80" t="s">
        <v>4</v>
      </c>
      <c r="D91" s="84"/>
    </row>
    <row r="92" spans="1:4">
      <c r="A92" s="80">
        <v>91</v>
      </c>
      <c r="B92" s="83" t="s">
        <v>84</v>
      </c>
      <c r="C92" s="80" t="s">
        <v>4</v>
      </c>
      <c r="D92" s="84"/>
    </row>
    <row r="93" spans="1:4">
      <c r="A93" s="80">
        <v>92</v>
      </c>
      <c r="B93" s="83" t="s">
        <v>85</v>
      </c>
      <c r="C93" s="80" t="s">
        <v>4</v>
      </c>
      <c r="D93" s="84"/>
    </row>
    <row r="94" spans="1:4">
      <c r="A94" s="80">
        <v>93</v>
      </c>
      <c r="B94" s="83" t="s">
        <v>86</v>
      </c>
      <c r="C94" s="80" t="s">
        <v>4</v>
      </c>
      <c r="D94" s="84"/>
    </row>
    <row r="95" spans="1:4">
      <c r="A95" s="80">
        <v>94</v>
      </c>
      <c r="B95" s="83" t="s">
        <v>87</v>
      </c>
      <c r="C95" s="80" t="s">
        <v>4</v>
      </c>
      <c r="D95" s="84"/>
    </row>
    <row r="96" spans="1:4">
      <c r="A96" s="80">
        <v>95</v>
      </c>
      <c r="B96" s="83" t="s">
        <v>88</v>
      </c>
      <c r="C96" s="80" t="s">
        <v>4</v>
      </c>
      <c r="D96" s="84"/>
    </row>
    <row r="97" spans="1:4">
      <c r="A97" s="80">
        <v>96</v>
      </c>
      <c r="B97" s="83" t="s">
        <v>89</v>
      </c>
      <c r="C97" s="80" t="s">
        <v>4</v>
      </c>
      <c r="D97" s="84"/>
    </row>
    <row r="98" spans="1:4">
      <c r="A98" s="80">
        <v>97</v>
      </c>
      <c r="B98" s="83" t="s">
        <v>90</v>
      </c>
      <c r="C98" s="80" t="s">
        <v>4</v>
      </c>
      <c r="D98" s="84"/>
    </row>
    <row r="99" spans="1:4">
      <c r="A99" s="80">
        <v>98</v>
      </c>
      <c r="B99" s="83" t="s">
        <v>91</v>
      </c>
      <c r="C99" s="80" t="s">
        <v>4</v>
      </c>
      <c r="D99" s="84"/>
    </row>
    <row r="100" spans="1:4">
      <c r="A100" s="80">
        <v>99</v>
      </c>
      <c r="B100" s="83" t="s">
        <v>92</v>
      </c>
      <c r="C100" s="80" t="s">
        <v>4</v>
      </c>
      <c r="D100" s="84"/>
    </row>
    <row r="101" spans="1:4">
      <c r="A101" s="80">
        <v>100</v>
      </c>
      <c r="B101" s="83" t="s">
        <v>93</v>
      </c>
      <c r="C101" s="80" t="s">
        <v>4</v>
      </c>
      <c r="D101" s="84"/>
    </row>
    <row r="102" spans="1:4">
      <c r="A102" s="80">
        <v>101</v>
      </c>
      <c r="B102" s="83" t="s">
        <v>94</v>
      </c>
      <c r="C102" s="80" t="s">
        <v>4</v>
      </c>
      <c r="D102" s="84"/>
    </row>
    <row r="103" spans="1:4">
      <c r="A103" s="80">
        <v>102</v>
      </c>
      <c r="B103" s="83" t="s">
        <v>95</v>
      </c>
      <c r="C103" s="80" t="s">
        <v>4</v>
      </c>
      <c r="D103" s="84"/>
    </row>
    <row r="104" spans="1:4">
      <c r="A104" s="80">
        <v>103</v>
      </c>
      <c r="B104" s="81" t="s">
        <v>21</v>
      </c>
      <c r="C104" s="80" t="s">
        <v>4</v>
      </c>
      <c r="D104" s="82"/>
    </row>
  </sheetData>
  <mergeCells count="4">
    <mergeCell ref="A2:D2"/>
    <mergeCell ref="B3:D3"/>
    <mergeCell ref="B16:D16"/>
    <mergeCell ref="B30:D30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F15" sqref="F15"/>
    </sheetView>
  </sheetViews>
  <sheetFormatPr defaultRowHeight="14.4"/>
  <cols>
    <col min="3" max="3" width="33.5546875" customWidth="1"/>
    <col min="4" max="4" width="16.77734375" customWidth="1"/>
    <col min="5" max="5" width="18.5546875" customWidth="1"/>
    <col min="7" max="8" width="10.44140625" bestFit="1" customWidth="1"/>
  </cols>
  <sheetData>
    <row r="1" spans="1:8">
      <c r="A1" s="110" t="s">
        <v>96</v>
      </c>
      <c r="B1" s="110"/>
      <c r="C1" s="110"/>
      <c r="D1" s="110"/>
      <c r="E1" s="110"/>
    </row>
    <row r="2" spans="1:8" ht="28.8" customHeight="1">
      <c r="A2" s="111" t="s">
        <v>97</v>
      </c>
      <c r="B2" s="111"/>
      <c r="C2" s="111"/>
      <c r="D2" s="111"/>
      <c r="E2" s="111"/>
    </row>
    <row r="3" spans="1:8" ht="15" thickBot="1">
      <c r="A3" s="18"/>
      <c r="B3" s="18"/>
      <c r="C3" s="18"/>
      <c r="D3" s="18"/>
      <c r="E3" s="18"/>
    </row>
    <row r="4" spans="1:8" ht="15" thickBot="1">
      <c r="A4" s="19" t="s">
        <v>98</v>
      </c>
      <c r="B4" s="112" t="s">
        <v>99</v>
      </c>
      <c r="C4" s="113"/>
      <c r="D4" s="20" t="s">
        <v>100</v>
      </c>
      <c r="E4" s="21" t="s">
        <v>101</v>
      </c>
    </row>
    <row r="5" spans="1:8" ht="22.8" customHeight="1" thickBot="1">
      <c r="A5" s="22">
        <v>1</v>
      </c>
      <c r="B5" s="114" t="s">
        <v>102</v>
      </c>
      <c r="C5" s="115"/>
      <c r="D5" s="23" t="s">
        <v>103</v>
      </c>
      <c r="E5" s="24">
        <v>1.65</v>
      </c>
      <c r="G5">
        <f>E5*12*площадь!D7</f>
        <v>27038.879999999994</v>
      </c>
    </row>
    <row r="6" spans="1:8" ht="15" thickBot="1">
      <c r="A6" s="22">
        <v>2</v>
      </c>
      <c r="B6" s="114" t="s">
        <v>104</v>
      </c>
      <c r="C6" s="115"/>
      <c r="D6" s="23" t="s">
        <v>105</v>
      </c>
      <c r="E6" s="24">
        <v>1.55</v>
      </c>
      <c r="G6">
        <f>E6*12*площадь!D7</f>
        <v>25400.16</v>
      </c>
    </row>
    <row r="7" spans="1:8" ht="26.4" customHeight="1" thickBot="1">
      <c r="A7" s="22">
        <v>3</v>
      </c>
      <c r="B7" s="114" t="s">
        <v>106</v>
      </c>
      <c r="C7" s="115"/>
      <c r="D7" s="23" t="s">
        <v>107</v>
      </c>
      <c r="E7" s="24">
        <v>0.85</v>
      </c>
      <c r="G7">
        <f>E7*12*площадь!D7</f>
        <v>13929.119999999999</v>
      </c>
    </row>
    <row r="8" spans="1:8" ht="26.4" customHeight="1" thickBot="1">
      <c r="A8" s="22">
        <v>4</v>
      </c>
      <c r="B8" s="114" t="s">
        <v>108</v>
      </c>
      <c r="C8" s="115"/>
      <c r="D8" s="23" t="s">
        <v>109</v>
      </c>
      <c r="E8" s="24">
        <v>1.36</v>
      </c>
      <c r="G8">
        <f>E8*12*площадь!D7</f>
        <v>22286.592000000001</v>
      </c>
    </row>
    <row r="9" spans="1:8" ht="26.4" customHeight="1" thickBot="1">
      <c r="A9" s="22">
        <v>6</v>
      </c>
      <c r="B9" s="114" t="s">
        <v>110</v>
      </c>
      <c r="C9" s="115"/>
      <c r="D9" s="23" t="s">
        <v>111</v>
      </c>
      <c r="E9" s="24">
        <v>0.78</v>
      </c>
      <c r="G9">
        <f>E9*12*площадь!D7</f>
        <v>12782.015999999998</v>
      </c>
    </row>
    <row r="10" spans="1:8" ht="15" thickBot="1">
      <c r="A10" s="22">
        <v>7</v>
      </c>
      <c r="B10" s="114" t="s">
        <v>112</v>
      </c>
      <c r="C10" s="115"/>
      <c r="D10" s="23" t="s">
        <v>113</v>
      </c>
      <c r="E10" s="24">
        <v>2.9000000000000001E-2</v>
      </c>
      <c r="G10">
        <f>E10*12*площадь!D7</f>
        <v>475.22880000000004</v>
      </c>
    </row>
    <row r="11" spans="1:8" ht="26.4" customHeight="1" thickBot="1">
      <c r="A11" s="22">
        <v>8</v>
      </c>
      <c r="B11" s="114" t="s">
        <v>114</v>
      </c>
      <c r="C11" s="115"/>
      <c r="D11" s="23"/>
      <c r="E11" s="24">
        <v>1.93</v>
      </c>
      <c r="G11">
        <f>E11*12*площадь!D7</f>
        <v>31627.295999999998</v>
      </c>
    </row>
    <row r="12" spans="1:8" ht="32.4" customHeight="1" thickBot="1">
      <c r="A12" s="22">
        <v>9</v>
      </c>
      <c r="B12" s="114" t="s">
        <v>115</v>
      </c>
      <c r="C12" s="115"/>
      <c r="D12" s="26" t="s">
        <v>111</v>
      </c>
      <c r="E12" s="24">
        <v>2.4900000000000002</v>
      </c>
      <c r="G12">
        <f>E12*12*площадь!D7</f>
        <v>40804.128000000004</v>
      </c>
    </row>
    <row r="13" spans="1:8" ht="15" thickBot="1">
      <c r="A13" s="107" t="s">
        <v>116</v>
      </c>
      <c r="B13" s="108"/>
      <c r="C13" s="108"/>
      <c r="D13" s="109"/>
      <c r="E13" s="25">
        <v>10.64</v>
      </c>
      <c r="G13">
        <f>E13*12*площадь!D7</f>
        <v>174359.80799999999</v>
      </c>
      <c r="H13" s="63">
        <f>G12+G11+G10+G9+G8+G7+G6+G5</f>
        <v>174343.42079999999</v>
      </c>
    </row>
  </sheetData>
  <mergeCells count="12">
    <mergeCell ref="A13:D13"/>
    <mergeCell ref="A1:E1"/>
    <mergeCell ref="A2:E2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dimension ref="A1:R122"/>
  <sheetViews>
    <sheetView topLeftCell="A100" workbookViewId="0">
      <selection activeCell="L120" sqref="L120"/>
    </sheetView>
  </sheetViews>
  <sheetFormatPr defaultRowHeight="13.8"/>
  <cols>
    <col min="1" max="1" width="3.109375" style="27" customWidth="1"/>
    <col min="2" max="2" width="12.88671875" style="27" customWidth="1"/>
    <col min="3" max="3" width="9.109375" style="27" customWidth="1"/>
    <col min="4" max="4" width="8.6640625" style="61" customWidth="1"/>
    <col min="5" max="5" width="8.88671875" style="27" customWidth="1"/>
    <col min="6" max="6" width="9.5546875" style="27" customWidth="1"/>
    <col min="7" max="8" width="8.88671875" style="27"/>
    <col min="9" max="10" width="8.44140625" style="27" customWidth="1"/>
    <col min="11" max="11" width="9.88671875" style="27" customWidth="1"/>
    <col min="12" max="12" width="8.109375" style="27" customWidth="1"/>
    <col min="13" max="16384" width="8.88671875" style="27"/>
  </cols>
  <sheetData>
    <row r="1" spans="1:18">
      <c r="A1" s="116" t="s">
        <v>117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8" ht="14.4" customHeight="1">
      <c r="A2" s="117" t="s">
        <v>0</v>
      </c>
      <c r="B2" s="117" t="s">
        <v>118</v>
      </c>
      <c r="C2" s="117" t="s">
        <v>119</v>
      </c>
      <c r="D2" s="117"/>
      <c r="E2" s="117"/>
      <c r="F2" s="117"/>
      <c r="G2" s="117" t="s">
        <v>120</v>
      </c>
      <c r="H2" s="117"/>
      <c r="I2" s="117"/>
      <c r="J2" s="117"/>
      <c r="K2" s="117"/>
      <c r="L2" s="117"/>
      <c r="M2" s="117"/>
      <c r="N2" s="117"/>
      <c r="O2" s="117"/>
      <c r="P2" s="117"/>
      <c r="Q2" s="118" t="s">
        <v>121</v>
      </c>
      <c r="R2" s="118" t="s">
        <v>122</v>
      </c>
    </row>
    <row r="3" spans="1:18" ht="14.4" customHeight="1">
      <c r="A3" s="117"/>
      <c r="B3" s="117"/>
      <c r="C3" s="117" t="s">
        <v>123</v>
      </c>
      <c r="D3" s="119" t="s">
        <v>124</v>
      </c>
      <c r="E3" s="117" t="s">
        <v>125</v>
      </c>
      <c r="F3" s="117" t="s">
        <v>126</v>
      </c>
      <c r="G3" s="122" t="s">
        <v>127</v>
      </c>
      <c r="H3" s="123"/>
      <c r="I3" s="117" t="s">
        <v>128</v>
      </c>
      <c r="J3" s="117"/>
      <c r="K3" s="117" t="s">
        <v>129</v>
      </c>
      <c r="L3" s="117"/>
      <c r="M3" s="117" t="s">
        <v>130</v>
      </c>
      <c r="N3" s="117"/>
      <c r="O3" s="117" t="s">
        <v>131</v>
      </c>
      <c r="P3" s="117"/>
      <c r="Q3" s="118"/>
      <c r="R3" s="118"/>
    </row>
    <row r="4" spans="1:18">
      <c r="A4" s="117"/>
      <c r="B4" s="117"/>
      <c r="C4" s="117"/>
      <c r="D4" s="119"/>
      <c r="E4" s="117"/>
      <c r="F4" s="117"/>
      <c r="G4" s="28" t="s">
        <v>132</v>
      </c>
      <c r="H4" s="29" t="s">
        <v>133</v>
      </c>
      <c r="I4" s="28" t="s">
        <v>132</v>
      </c>
      <c r="J4" s="29" t="s">
        <v>133</v>
      </c>
      <c r="K4" s="28" t="s">
        <v>132</v>
      </c>
      <c r="L4" s="29" t="s">
        <v>133</v>
      </c>
      <c r="M4" s="28" t="s">
        <v>132</v>
      </c>
      <c r="N4" s="29" t="s">
        <v>133</v>
      </c>
      <c r="O4" s="28" t="s">
        <v>132</v>
      </c>
      <c r="P4" s="29" t="s">
        <v>133</v>
      </c>
      <c r="Q4" s="118"/>
      <c r="R4" s="118"/>
    </row>
    <row r="5" spans="1:18">
      <c r="A5" s="30"/>
      <c r="B5" s="30"/>
      <c r="C5" s="30"/>
      <c r="D5" s="34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>
      <c r="A6" s="124" t="s">
        <v>135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1:18" s="65" customFormat="1">
      <c r="A7" s="44">
        <v>8</v>
      </c>
      <c r="B7" s="44" t="s">
        <v>136</v>
      </c>
      <c r="C7" s="44">
        <v>1805.5</v>
      </c>
      <c r="D7" s="64">
        <v>1365.6</v>
      </c>
      <c r="E7" s="44">
        <v>887</v>
      </c>
      <c r="F7" s="44">
        <v>146.30000000000001</v>
      </c>
      <c r="G7" s="44">
        <v>18</v>
      </c>
      <c r="H7" s="44">
        <v>544.79999999999995</v>
      </c>
      <c r="I7" s="44">
        <v>12</v>
      </c>
      <c r="J7" s="44">
        <v>574.29999999999995</v>
      </c>
      <c r="K7" s="44">
        <v>2</v>
      </c>
      <c r="L7" s="44">
        <v>145</v>
      </c>
      <c r="M7" s="44">
        <v>1</v>
      </c>
      <c r="N7" s="44">
        <v>101.5</v>
      </c>
      <c r="O7" s="44"/>
      <c r="P7" s="44"/>
      <c r="Q7" s="44"/>
      <c r="R7" s="44"/>
    </row>
    <row r="8" spans="1:18" s="65" customFormat="1">
      <c r="A8" s="44">
        <v>9</v>
      </c>
      <c r="B8" s="44" t="s">
        <v>137</v>
      </c>
      <c r="C8" s="44">
        <v>1799.6</v>
      </c>
      <c r="D8" s="64">
        <v>1358.2</v>
      </c>
      <c r="E8" s="44">
        <v>890.5</v>
      </c>
      <c r="F8" s="44">
        <v>146.30000000000001</v>
      </c>
      <c r="G8" s="44">
        <v>18</v>
      </c>
      <c r="H8" s="44">
        <v>544.79999999999995</v>
      </c>
      <c r="I8" s="44">
        <v>14</v>
      </c>
      <c r="J8" s="44">
        <v>676.8</v>
      </c>
      <c r="K8" s="44">
        <v>2</v>
      </c>
      <c r="L8" s="44">
        <v>136.6</v>
      </c>
      <c r="M8" s="44"/>
      <c r="N8" s="44"/>
      <c r="O8" s="44"/>
      <c r="P8" s="44"/>
      <c r="Q8" s="44"/>
      <c r="R8" s="44"/>
    </row>
    <row r="9" spans="1:18" s="65" customFormat="1">
      <c r="A9" s="44">
        <v>10</v>
      </c>
      <c r="B9" s="44" t="s">
        <v>138</v>
      </c>
      <c r="C9" s="44">
        <v>919.7</v>
      </c>
      <c r="D9" s="64">
        <v>693.6</v>
      </c>
      <c r="E9" s="44">
        <v>475.5</v>
      </c>
      <c r="F9" s="44">
        <v>130.1</v>
      </c>
      <c r="G9" s="44">
        <v>9</v>
      </c>
      <c r="H9" s="44">
        <v>283.8</v>
      </c>
      <c r="I9" s="44">
        <v>7</v>
      </c>
      <c r="J9" s="44">
        <v>341.5</v>
      </c>
      <c r="K9" s="44">
        <v>1</v>
      </c>
      <c r="L9" s="44">
        <v>68.3</v>
      </c>
      <c r="M9" s="44"/>
      <c r="N9" s="44"/>
      <c r="O9" s="44"/>
      <c r="P9" s="44"/>
      <c r="Q9" s="44"/>
      <c r="R9" s="44"/>
    </row>
    <row r="10" spans="1:18" s="65" customFormat="1">
      <c r="A10" s="44">
        <v>11</v>
      </c>
      <c r="B10" s="44" t="s">
        <v>139</v>
      </c>
      <c r="C10" s="44">
        <v>914</v>
      </c>
      <c r="D10" s="64">
        <v>701</v>
      </c>
      <c r="E10" s="44">
        <v>472</v>
      </c>
      <c r="F10" s="44">
        <v>113.9</v>
      </c>
      <c r="G10" s="44">
        <v>9</v>
      </c>
      <c r="H10" s="44">
        <v>283.8</v>
      </c>
      <c r="I10" s="44">
        <v>5</v>
      </c>
      <c r="J10" s="44">
        <v>239</v>
      </c>
      <c r="K10" s="44">
        <v>1</v>
      </c>
      <c r="L10" s="44">
        <v>76.7</v>
      </c>
      <c r="M10" s="44">
        <v>1</v>
      </c>
      <c r="N10" s="44">
        <v>101.5</v>
      </c>
      <c r="O10" s="44"/>
      <c r="P10" s="44"/>
      <c r="Q10" s="44"/>
      <c r="R10" s="44"/>
    </row>
    <row r="11" spans="1:18" s="65" customFormat="1">
      <c r="A11" s="44">
        <v>12</v>
      </c>
      <c r="B11" s="44" t="s">
        <v>140</v>
      </c>
      <c r="C11" s="44">
        <v>1770.7</v>
      </c>
      <c r="D11" s="64">
        <v>1336.6</v>
      </c>
      <c r="E11" s="44">
        <v>826.5</v>
      </c>
      <c r="F11" s="44">
        <v>213.2</v>
      </c>
      <c r="G11" s="44">
        <v>18</v>
      </c>
      <c r="H11" s="44">
        <v>522</v>
      </c>
      <c r="I11" s="44">
        <v>12</v>
      </c>
      <c r="J11" s="44">
        <v>568.1</v>
      </c>
      <c r="K11" s="44">
        <v>2</v>
      </c>
      <c r="L11" s="44">
        <v>145</v>
      </c>
      <c r="M11" s="44">
        <v>1</v>
      </c>
      <c r="N11" s="44">
        <v>101.5</v>
      </c>
      <c r="O11" s="44"/>
      <c r="P11" s="44"/>
      <c r="Q11" s="44"/>
      <c r="R11" s="44"/>
    </row>
    <row r="12" spans="1:18" s="65" customFormat="1">
      <c r="A12" s="44">
        <v>13</v>
      </c>
      <c r="B12" s="44" t="s">
        <v>141</v>
      </c>
      <c r="C12" s="44">
        <v>1805.4</v>
      </c>
      <c r="D12" s="64">
        <v>1358.2</v>
      </c>
      <c r="E12" s="44">
        <v>890.5</v>
      </c>
      <c r="F12" s="44">
        <v>220.5</v>
      </c>
      <c r="G12" s="44">
        <v>18</v>
      </c>
      <c r="H12" s="44">
        <v>544.79999999999995</v>
      </c>
      <c r="I12" s="44">
        <v>14</v>
      </c>
      <c r="J12" s="44">
        <v>676.8</v>
      </c>
      <c r="K12" s="44">
        <v>2</v>
      </c>
      <c r="L12" s="44">
        <v>136.6</v>
      </c>
      <c r="M12" s="44"/>
      <c r="N12" s="44"/>
      <c r="O12" s="44"/>
      <c r="P12" s="44"/>
      <c r="Q12" s="44"/>
      <c r="R12" s="44"/>
    </row>
    <row r="13" spans="1:18" s="65" customFormat="1">
      <c r="A13" s="44">
        <v>14</v>
      </c>
      <c r="B13" s="44" t="s">
        <v>142</v>
      </c>
      <c r="C13" s="44">
        <v>924</v>
      </c>
      <c r="D13" s="64">
        <v>701</v>
      </c>
      <c r="E13" s="44">
        <v>472</v>
      </c>
      <c r="F13" s="44">
        <v>130.1</v>
      </c>
      <c r="G13" s="44">
        <v>9</v>
      </c>
      <c r="H13" s="44">
        <v>283.8</v>
      </c>
      <c r="I13" s="44">
        <v>5</v>
      </c>
      <c r="J13" s="44">
        <v>239</v>
      </c>
      <c r="K13" s="44">
        <v>1</v>
      </c>
      <c r="L13" s="44">
        <v>76.7</v>
      </c>
      <c r="M13" s="44">
        <v>1</v>
      </c>
      <c r="N13" s="44">
        <v>101.5</v>
      </c>
      <c r="O13" s="44"/>
      <c r="P13" s="44"/>
      <c r="Q13" s="44"/>
      <c r="R13" s="44"/>
    </row>
    <row r="14" spans="1:18" s="65" customFormat="1">
      <c r="A14" s="44">
        <v>15</v>
      </c>
      <c r="B14" s="44" t="s">
        <v>143</v>
      </c>
      <c r="C14" s="44">
        <v>1803.7</v>
      </c>
      <c r="D14" s="64">
        <v>1365.6</v>
      </c>
      <c r="E14" s="44">
        <v>887</v>
      </c>
      <c r="F14" s="44">
        <v>252.9</v>
      </c>
      <c r="G14" s="44">
        <v>18</v>
      </c>
      <c r="H14" s="44">
        <v>544.79999999999995</v>
      </c>
      <c r="I14" s="44">
        <v>12</v>
      </c>
      <c r="J14" s="44">
        <v>574.29999999999995</v>
      </c>
      <c r="K14" s="44">
        <v>2</v>
      </c>
      <c r="L14" s="44">
        <v>145</v>
      </c>
      <c r="M14" s="44">
        <v>1</v>
      </c>
      <c r="N14" s="44">
        <v>101.5</v>
      </c>
      <c r="O14" s="44"/>
      <c r="P14" s="44"/>
      <c r="Q14" s="44"/>
      <c r="R14" s="44"/>
    </row>
    <row r="15" spans="1:18" s="65" customFormat="1">
      <c r="A15" s="44">
        <v>16</v>
      </c>
      <c r="B15" s="44" t="s">
        <v>144</v>
      </c>
      <c r="C15" s="44">
        <v>925.3</v>
      </c>
      <c r="D15" s="64">
        <v>701</v>
      </c>
      <c r="E15" s="44">
        <v>472</v>
      </c>
      <c r="F15" s="44">
        <v>113.9</v>
      </c>
      <c r="G15" s="44">
        <v>9</v>
      </c>
      <c r="H15" s="44">
        <v>283.8</v>
      </c>
      <c r="I15" s="44">
        <v>5</v>
      </c>
      <c r="J15" s="44">
        <v>239</v>
      </c>
      <c r="K15" s="44">
        <v>1</v>
      </c>
      <c r="L15" s="44">
        <v>76.7</v>
      </c>
      <c r="M15" s="44">
        <v>1</v>
      </c>
      <c r="N15" s="44">
        <v>101.5</v>
      </c>
      <c r="O15" s="44"/>
      <c r="P15" s="44"/>
      <c r="Q15" s="44"/>
      <c r="R15" s="44"/>
    </row>
    <row r="16" spans="1:18" s="65" customFormat="1">
      <c r="A16" s="44">
        <v>17</v>
      </c>
      <c r="B16" s="44" t="s">
        <v>145</v>
      </c>
      <c r="C16" s="44">
        <v>1657.5</v>
      </c>
      <c r="D16" s="64">
        <v>1387</v>
      </c>
      <c r="E16" s="44">
        <v>901.9</v>
      </c>
      <c r="F16" s="44">
        <v>122.8</v>
      </c>
      <c r="G16" s="44">
        <v>12</v>
      </c>
      <c r="H16" s="44">
        <v>400.2</v>
      </c>
      <c r="I16" s="44">
        <v>11</v>
      </c>
      <c r="J16" s="44">
        <v>529.6</v>
      </c>
      <c r="K16" s="44">
        <v>2</v>
      </c>
      <c r="L16" s="44">
        <v>177.5</v>
      </c>
      <c r="M16" s="44">
        <v>3</v>
      </c>
      <c r="N16" s="44">
        <v>279.7</v>
      </c>
      <c r="O16" s="44"/>
      <c r="P16" s="44"/>
      <c r="Q16" s="44"/>
      <c r="R16" s="44"/>
    </row>
    <row r="17" spans="1:18" s="65" customFormat="1">
      <c r="A17" s="44">
        <v>18</v>
      </c>
      <c r="B17" s="44" t="s">
        <v>146</v>
      </c>
      <c r="C17" s="44">
        <v>1818.5</v>
      </c>
      <c r="D17" s="64">
        <v>1387</v>
      </c>
      <c r="E17" s="44">
        <v>901.9</v>
      </c>
      <c r="F17" s="44">
        <v>252.9</v>
      </c>
      <c r="G17" s="44">
        <v>12</v>
      </c>
      <c r="H17" s="44">
        <v>400.2</v>
      </c>
      <c r="I17" s="44">
        <v>11</v>
      </c>
      <c r="J17" s="44">
        <v>529.6</v>
      </c>
      <c r="K17" s="44">
        <v>2</v>
      </c>
      <c r="L17" s="44">
        <v>177.5</v>
      </c>
      <c r="M17" s="44">
        <v>3</v>
      </c>
      <c r="N17" s="44">
        <v>279.7</v>
      </c>
      <c r="O17" s="44"/>
      <c r="P17" s="44"/>
      <c r="Q17" s="44"/>
      <c r="R17" s="44"/>
    </row>
    <row r="18" spans="1:18" s="65" customFormat="1">
      <c r="A18" s="44">
        <v>19</v>
      </c>
      <c r="B18" s="44" t="s">
        <v>147</v>
      </c>
      <c r="C18" s="44">
        <v>924.5</v>
      </c>
      <c r="D18" s="64">
        <v>701</v>
      </c>
      <c r="E18" s="44">
        <v>486.2</v>
      </c>
      <c r="F18" s="44">
        <v>130.1</v>
      </c>
      <c r="G18" s="44">
        <v>9</v>
      </c>
      <c r="H18" s="44">
        <v>283.2</v>
      </c>
      <c r="I18" s="44">
        <v>5</v>
      </c>
      <c r="J18" s="44">
        <v>239</v>
      </c>
      <c r="K18" s="44">
        <v>0</v>
      </c>
      <c r="L18" s="44"/>
      <c r="M18" s="44">
        <v>2</v>
      </c>
      <c r="N18" s="44">
        <v>178.2</v>
      </c>
      <c r="O18" s="44"/>
      <c r="P18" s="44"/>
      <c r="Q18" s="44"/>
      <c r="R18" s="44"/>
    </row>
    <row r="19" spans="1:18" s="65" customFormat="1">
      <c r="A19" s="44">
        <v>20</v>
      </c>
      <c r="B19" s="44" t="s">
        <v>148</v>
      </c>
      <c r="C19" s="44">
        <v>762.1</v>
      </c>
      <c r="D19" s="64">
        <v>692.7</v>
      </c>
      <c r="E19" s="44">
        <v>472.1</v>
      </c>
      <c r="F19" s="44">
        <v>0</v>
      </c>
      <c r="G19" s="44">
        <v>9</v>
      </c>
      <c r="H19" s="44">
        <v>275.39999999999998</v>
      </c>
      <c r="I19" s="44">
        <v>5</v>
      </c>
      <c r="J19" s="44">
        <v>239.1</v>
      </c>
      <c r="K19" s="44">
        <v>1</v>
      </c>
      <c r="L19" s="44">
        <v>76.7</v>
      </c>
      <c r="M19" s="44">
        <v>1</v>
      </c>
      <c r="N19" s="44">
        <v>101.5</v>
      </c>
      <c r="O19" s="44"/>
      <c r="P19" s="44"/>
      <c r="Q19" s="44"/>
      <c r="R19" s="44"/>
    </row>
    <row r="20" spans="1:18" s="32" customFormat="1">
      <c r="A20" s="31"/>
      <c r="B20" s="31" t="s">
        <v>134</v>
      </c>
      <c r="C20" s="31">
        <f>C19+C18+C17+C16+C15+C14+C13+C12+C11+C10+C9+C8+C7</f>
        <v>17830.5</v>
      </c>
      <c r="D20" s="54">
        <f t="shared" ref="D20:F20" si="0">D19+D18+D17+D16+D15+D14+D13+D12+D11+D10+D9+D8+D7</f>
        <v>13748.500000000002</v>
      </c>
      <c r="E20" s="31">
        <f t="shared" si="0"/>
        <v>9035.1</v>
      </c>
      <c r="F20" s="31">
        <f t="shared" si="0"/>
        <v>1973</v>
      </c>
      <c r="G20" s="31">
        <f>G19+G18+G17+G16+G15+G14+G13+G12+G11+G10+G9+G8+G7</f>
        <v>168</v>
      </c>
      <c r="H20" s="31">
        <f t="shared" ref="H20:N20" si="1">H19+H18+H17+H16+H15+H14+H13+H12+H11+H10+H9+H8+H7</f>
        <v>5195.4000000000005</v>
      </c>
      <c r="I20" s="31">
        <f t="shared" si="1"/>
        <v>118</v>
      </c>
      <c r="J20" s="31">
        <f t="shared" si="1"/>
        <v>5666.1</v>
      </c>
      <c r="K20" s="31">
        <f t="shared" si="1"/>
        <v>19</v>
      </c>
      <c r="L20" s="31">
        <f t="shared" si="1"/>
        <v>1438.3</v>
      </c>
      <c r="M20" s="31">
        <f t="shared" si="1"/>
        <v>15</v>
      </c>
      <c r="N20" s="31">
        <f t="shared" si="1"/>
        <v>1448.1</v>
      </c>
      <c r="O20" s="31"/>
      <c r="P20" s="31"/>
      <c r="Q20" s="31"/>
      <c r="R20" s="31"/>
    </row>
    <row r="21" spans="1:18">
      <c r="A21" s="30"/>
      <c r="B21" s="30"/>
      <c r="C21" s="30"/>
      <c r="D21" s="34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5.6">
      <c r="A22" s="125" t="s">
        <v>149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1"/>
    </row>
    <row r="23" spans="1:18">
      <c r="A23" s="33">
        <v>38</v>
      </c>
      <c r="B23" s="69">
        <v>21</v>
      </c>
      <c r="C23" s="44">
        <v>1843.8</v>
      </c>
      <c r="D23" s="64">
        <v>1395.8</v>
      </c>
      <c r="E23" s="44">
        <v>952.8</v>
      </c>
      <c r="F23" s="44">
        <v>300.39999999999998</v>
      </c>
      <c r="G23" s="44">
        <v>10</v>
      </c>
      <c r="H23" s="44">
        <v>488.5</v>
      </c>
      <c r="I23" s="44">
        <v>4</v>
      </c>
      <c r="J23" s="44">
        <v>397.6</v>
      </c>
      <c r="K23" s="44"/>
      <c r="L23" s="44"/>
      <c r="M23" s="44">
        <v>3</v>
      </c>
      <c r="N23" s="44">
        <v>509.7</v>
      </c>
      <c r="O23" s="44"/>
      <c r="P23" s="44"/>
      <c r="Q23" s="30"/>
      <c r="R23" s="30"/>
    </row>
    <row r="24" spans="1:18">
      <c r="A24" s="33">
        <v>39</v>
      </c>
      <c r="B24" s="69">
        <v>29</v>
      </c>
      <c r="C24" s="44">
        <v>1835.3</v>
      </c>
      <c r="D24" s="64">
        <v>1388.17</v>
      </c>
      <c r="E24" s="30">
        <v>1030.49</v>
      </c>
      <c r="F24" s="30">
        <v>222.2</v>
      </c>
      <c r="G24" s="30">
        <v>10</v>
      </c>
      <c r="H24" s="30">
        <v>482.8</v>
      </c>
      <c r="I24" s="30"/>
      <c r="J24" s="30"/>
      <c r="K24" s="30">
        <v>1</v>
      </c>
      <c r="L24" s="30">
        <v>95.6</v>
      </c>
      <c r="M24" s="30">
        <v>2</v>
      </c>
      <c r="N24" s="30">
        <v>340.3</v>
      </c>
      <c r="O24" s="30">
        <v>1</v>
      </c>
      <c r="P24" s="30">
        <v>164.8</v>
      </c>
      <c r="Q24" s="30"/>
      <c r="R24" s="30"/>
    </row>
    <row r="25" spans="1:18">
      <c r="A25" s="33">
        <v>40</v>
      </c>
      <c r="B25" s="69">
        <v>31</v>
      </c>
      <c r="C25" s="30">
        <v>1840.6</v>
      </c>
      <c r="D25" s="64">
        <v>1393.6</v>
      </c>
      <c r="E25" s="30">
        <v>1012.3</v>
      </c>
      <c r="F25" s="34">
        <v>222.2</v>
      </c>
      <c r="G25" s="30">
        <v>24</v>
      </c>
      <c r="H25" s="30">
        <v>1158.7</v>
      </c>
      <c r="I25" s="30"/>
      <c r="J25" s="30"/>
      <c r="K25" s="30">
        <v>3</v>
      </c>
      <c r="L25" s="30">
        <v>294</v>
      </c>
      <c r="M25" s="30">
        <v>5</v>
      </c>
      <c r="N25" s="30">
        <v>852.1</v>
      </c>
      <c r="O25" s="30">
        <v>1</v>
      </c>
      <c r="P25" s="30">
        <v>168.7</v>
      </c>
      <c r="Q25" s="30"/>
      <c r="R25" s="30"/>
    </row>
    <row r="26" spans="1:18">
      <c r="A26" s="33">
        <v>41</v>
      </c>
      <c r="B26" s="70" t="s">
        <v>150</v>
      </c>
      <c r="C26" s="30">
        <v>1492.7</v>
      </c>
      <c r="D26" s="64">
        <v>1371.8</v>
      </c>
      <c r="E26" s="30">
        <v>902.8</v>
      </c>
      <c r="F26" s="34">
        <v>222</v>
      </c>
      <c r="G26" s="30">
        <v>2</v>
      </c>
      <c r="H26" s="30">
        <v>97.5</v>
      </c>
      <c r="I26" s="30"/>
      <c r="J26" s="30"/>
      <c r="K26" s="30">
        <v>8</v>
      </c>
      <c r="L26" s="30">
        <v>768</v>
      </c>
      <c r="M26" s="30">
        <v>3</v>
      </c>
      <c r="N26" s="30">
        <v>506.3</v>
      </c>
      <c r="O26" s="30"/>
      <c r="P26" s="30"/>
      <c r="Q26" s="30"/>
      <c r="R26" s="30"/>
    </row>
    <row r="27" spans="1:18">
      <c r="A27" s="35">
        <v>42</v>
      </c>
      <c r="B27" s="71">
        <v>66</v>
      </c>
      <c r="C27" s="37">
        <v>651.5</v>
      </c>
      <c r="D27" s="64">
        <v>454.7</v>
      </c>
      <c r="E27" s="37">
        <v>288.89999999999998</v>
      </c>
      <c r="F27" s="37">
        <v>131.4</v>
      </c>
      <c r="G27" s="37">
        <v>2</v>
      </c>
      <c r="H27" s="37">
        <v>87.4</v>
      </c>
      <c r="I27" s="37">
        <v>6</v>
      </c>
      <c r="J27" s="37">
        <v>367.3</v>
      </c>
      <c r="K27" s="30"/>
      <c r="L27" s="30"/>
      <c r="M27" s="30"/>
      <c r="N27" s="30"/>
      <c r="O27" s="36"/>
      <c r="P27" s="36"/>
      <c r="Q27" s="36"/>
      <c r="R27" s="38"/>
    </row>
    <row r="28" spans="1:18">
      <c r="A28" s="33">
        <v>43</v>
      </c>
      <c r="B28" s="72" t="s">
        <v>151</v>
      </c>
      <c r="C28" s="37">
        <v>1163</v>
      </c>
      <c r="D28" s="64">
        <v>568.1</v>
      </c>
      <c r="E28" s="39"/>
      <c r="F28" s="40">
        <v>222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>
      <c r="A29" s="33">
        <v>44</v>
      </c>
      <c r="B29" s="72" t="s">
        <v>152</v>
      </c>
      <c r="C29" s="37">
        <v>1158.0999999999999</v>
      </c>
      <c r="D29" s="64">
        <v>497.2</v>
      </c>
      <c r="E29" s="39"/>
      <c r="F29" s="40">
        <v>222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>
      <c r="A30" s="33">
        <v>45</v>
      </c>
      <c r="B30" s="72" t="s">
        <v>153</v>
      </c>
      <c r="C30" s="37">
        <v>1154.4000000000001</v>
      </c>
      <c r="D30" s="64">
        <v>566</v>
      </c>
      <c r="E30" s="39"/>
      <c r="F30" s="40">
        <v>222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>
      <c r="A31" s="33">
        <v>46</v>
      </c>
      <c r="B31" s="70" t="s">
        <v>154</v>
      </c>
      <c r="C31" s="30">
        <v>1303.5</v>
      </c>
      <c r="D31" s="64">
        <v>1115.4000000000001</v>
      </c>
      <c r="E31" s="39"/>
      <c r="F31" s="40">
        <v>222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>
      <c r="A32" s="33">
        <v>47</v>
      </c>
      <c r="B32" s="70">
        <v>102</v>
      </c>
      <c r="C32" s="30">
        <v>1492.7</v>
      </c>
      <c r="D32" s="64">
        <v>1303.5</v>
      </c>
      <c r="E32" s="30"/>
      <c r="F32" s="34">
        <v>222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>
      <c r="A33" s="33">
        <v>48</v>
      </c>
      <c r="B33" s="68" t="s">
        <v>155</v>
      </c>
      <c r="C33" s="30">
        <v>1222.3</v>
      </c>
      <c r="D33" s="64">
        <v>918.7</v>
      </c>
      <c r="E33" s="30">
        <v>609</v>
      </c>
      <c r="F33" s="30">
        <v>222.2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>
      <c r="A34" s="33">
        <v>49</v>
      </c>
      <c r="B34" s="68" t="s">
        <v>156</v>
      </c>
      <c r="C34" s="30">
        <v>2466.9</v>
      </c>
      <c r="D34" s="64">
        <v>1868.9</v>
      </c>
      <c r="E34" s="30">
        <v>1264.5</v>
      </c>
      <c r="F34" s="30">
        <v>401.2</v>
      </c>
      <c r="G34" s="30">
        <v>24</v>
      </c>
      <c r="H34" s="30">
        <v>1182.5999999999999</v>
      </c>
      <c r="I34" s="30"/>
      <c r="J34" s="30"/>
      <c r="K34" s="30"/>
      <c r="L34" s="30"/>
      <c r="M34" s="30">
        <v>4</v>
      </c>
      <c r="N34" s="30">
        <v>686.3</v>
      </c>
      <c r="O34" s="30"/>
      <c r="P34" s="30"/>
      <c r="Q34" s="30"/>
      <c r="R34" s="30"/>
    </row>
    <row r="35" spans="1:18">
      <c r="A35" s="33">
        <v>50</v>
      </c>
      <c r="B35" s="68" t="s">
        <v>157</v>
      </c>
      <c r="C35" s="30">
        <v>2450.6999999999998</v>
      </c>
      <c r="D35" s="64">
        <v>1855.9</v>
      </c>
      <c r="E35" s="30">
        <v>1296.9000000000001</v>
      </c>
      <c r="F35" s="30">
        <v>398</v>
      </c>
      <c r="G35" s="30">
        <v>20</v>
      </c>
      <c r="H35" s="30">
        <v>976.7</v>
      </c>
      <c r="I35" s="30">
        <v>2</v>
      </c>
      <c r="J35" s="30">
        <v>173.1</v>
      </c>
      <c r="K35" s="30">
        <v>2</v>
      </c>
      <c r="L35" s="30">
        <v>197</v>
      </c>
      <c r="M35" s="30">
        <v>3</v>
      </c>
      <c r="N35" s="30">
        <v>509.1</v>
      </c>
      <c r="O35" s="30"/>
      <c r="P35" s="30"/>
      <c r="Q35" s="30"/>
      <c r="R35" s="30"/>
    </row>
    <row r="36" spans="1:18">
      <c r="A36" s="33">
        <v>51</v>
      </c>
      <c r="B36" s="73">
        <v>138</v>
      </c>
      <c r="C36" s="30">
        <v>2537.9</v>
      </c>
      <c r="D36" s="64">
        <v>1890.7</v>
      </c>
      <c r="E36" s="30">
        <v>1380.1</v>
      </c>
      <c r="F36" s="30">
        <v>445.6</v>
      </c>
      <c r="G36" s="30">
        <v>18</v>
      </c>
      <c r="H36" s="30">
        <v>889.6</v>
      </c>
      <c r="I36" s="30"/>
      <c r="J36" s="30"/>
      <c r="K36" s="30">
        <v>3</v>
      </c>
      <c r="L36" s="30">
        <v>300.5</v>
      </c>
      <c r="M36" s="30"/>
      <c r="N36" s="30"/>
      <c r="O36" s="30"/>
      <c r="P36" s="30"/>
      <c r="Q36" s="30"/>
      <c r="R36" s="30"/>
    </row>
    <row r="37" spans="1:18">
      <c r="A37" s="33">
        <v>52</v>
      </c>
      <c r="B37" s="73">
        <v>140</v>
      </c>
      <c r="C37" s="30">
        <v>2531.5</v>
      </c>
      <c r="D37" s="64">
        <v>1884.5</v>
      </c>
      <c r="E37" s="30">
        <v>1341.9</v>
      </c>
      <c r="F37" s="30">
        <v>445.4</v>
      </c>
      <c r="G37" s="30">
        <v>20</v>
      </c>
      <c r="H37" s="30">
        <v>996.8</v>
      </c>
      <c r="I37" s="30"/>
      <c r="J37" s="30"/>
      <c r="K37" s="30">
        <v>2</v>
      </c>
      <c r="L37" s="30">
        <v>201.6</v>
      </c>
      <c r="M37" s="30"/>
      <c r="N37" s="30"/>
      <c r="O37" s="30"/>
      <c r="P37" s="30"/>
      <c r="Q37" s="30"/>
      <c r="R37" s="30"/>
    </row>
    <row r="38" spans="1:18">
      <c r="A38" s="33">
        <v>53</v>
      </c>
      <c r="B38" s="69">
        <v>142</v>
      </c>
      <c r="C38" s="30">
        <v>2450</v>
      </c>
      <c r="D38" s="64">
        <v>1553.4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>
      <c r="A39" s="33">
        <v>54</v>
      </c>
      <c r="B39" s="68">
        <v>144</v>
      </c>
      <c r="C39" s="30">
        <v>1303.5</v>
      </c>
      <c r="D39" s="64">
        <v>1158.7</v>
      </c>
      <c r="E39" s="30">
        <v>787.5</v>
      </c>
      <c r="F39" s="30"/>
      <c r="G39" s="30">
        <v>15</v>
      </c>
      <c r="H39" s="30">
        <v>768.4</v>
      </c>
      <c r="I39" s="30">
        <v>4</v>
      </c>
      <c r="J39" s="30">
        <v>390.3</v>
      </c>
      <c r="K39" s="30"/>
      <c r="L39" s="30"/>
      <c r="M39" s="30"/>
      <c r="N39" s="30"/>
      <c r="O39" s="30"/>
      <c r="P39" s="30"/>
      <c r="Q39" s="30"/>
      <c r="R39" s="30"/>
    </row>
    <row r="40" spans="1:18">
      <c r="A40" s="33">
        <v>55</v>
      </c>
      <c r="B40" s="68">
        <v>146</v>
      </c>
      <c r="C40" s="30">
        <v>1158.7</v>
      </c>
      <c r="D40" s="64">
        <v>775.6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>
      <c r="A41" s="33">
        <v>56</v>
      </c>
      <c r="B41" s="68">
        <v>148</v>
      </c>
      <c r="C41" s="30">
        <v>2466.9</v>
      </c>
      <c r="D41" s="64">
        <v>1868.9</v>
      </c>
      <c r="E41" s="30">
        <v>1264.5</v>
      </c>
      <c r="F41" s="30">
        <v>401.2</v>
      </c>
      <c r="G41" s="30">
        <v>24</v>
      </c>
      <c r="H41" s="30">
        <v>1182.5999999999999</v>
      </c>
      <c r="I41" s="30"/>
      <c r="J41" s="30"/>
      <c r="K41" s="30"/>
      <c r="L41" s="30"/>
      <c r="M41" s="30">
        <v>4</v>
      </c>
      <c r="N41" s="30">
        <v>686.3</v>
      </c>
      <c r="O41" s="30"/>
      <c r="P41" s="30"/>
      <c r="Q41" s="30"/>
      <c r="R41" s="30"/>
    </row>
    <row r="42" spans="1:18">
      <c r="A42" s="33">
        <v>57</v>
      </c>
      <c r="B42" s="68">
        <v>150</v>
      </c>
      <c r="C42" s="30">
        <v>2450.6999999999998</v>
      </c>
      <c r="D42" s="64">
        <v>1855.9</v>
      </c>
      <c r="E42" s="30">
        <v>1296.9000000000001</v>
      </c>
      <c r="F42" s="30">
        <v>398</v>
      </c>
      <c r="G42" s="30">
        <v>20</v>
      </c>
      <c r="H42" s="30">
        <v>976.7</v>
      </c>
      <c r="I42" s="30">
        <v>2</v>
      </c>
      <c r="J42" s="30">
        <v>173.1</v>
      </c>
      <c r="K42" s="30">
        <v>2</v>
      </c>
      <c r="L42" s="30">
        <v>197</v>
      </c>
      <c r="M42" s="30">
        <v>3</v>
      </c>
      <c r="N42" s="30">
        <v>509.1</v>
      </c>
      <c r="O42" s="30"/>
      <c r="P42" s="30"/>
      <c r="Q42" s="30"/>
      <c r="R42" s="30"/>
    </row>
    <row r="43" spans="1:18" s="65" customFormat="1">
      <c r="A43" s="43">
        <v>58</v>
      </c>
      <c r="B43" s="43">
        <v>152</v>
      </c>
      <c r="C43" s="44">
        <v>2537.9</v>
      </c>
      <c r="D43" s="64">
        <v>1890.7</v>
      </c>
      <c r="E43" s="44">
        <v>1380.1</v>
      </c>
      <c r="F43" s="44">
        <v>445.6</v>
      </c>
      <c r="G43" s="44">
        <v>18</v>
      </c>
      <c r="H43" s="44">
        <v>889.6</v>
      </c>
      <c r="I43" s="44"/>
      <c r="J43" s="44"/>
      <c r="K43" s="44">
        <v>3</v>
      </c>
      <c r="L43" s="44">
        <v>300.5</v>
      </c>
      <c r="M43" s="44"/>
      <c r="N43" s="44"/>
      <c r="O43" s="44">
        <v>4</v>
      </c>
      <c r="P43" s="44">
        <v>700.6</v>
      </c>
      <c r="Q43" s="44"/>
      <c r="R43" s="44"/>
    </row>
    <row r="44" spans="1:18" s="65" customFormat="1">
      <c r="A44" s="43">
        <v>59</v>
      </c>
      <c r="B44" s="43">
        <v>154</v>
      </c>
      <c r="C44" s="44">
        <v>2531.5</v>
      </c>
      <c r="D44" s="64">
        <v>1884.5</v>
      </c>
      <c r="E44" s="44">
        <v>1341.9</v>
      </c>
      <c r="F44" s="44">
        <v>445.4</v>
      </c>
      <c r="G44" s="44">
        <v>20</v>
      </c>
      <c r="H44" s="44">
        <v>996.8</v>
      </c>
      <c r="I44" s="44"/>
      <c r="J44" s="44"/>
      <c r="K44" s="44">
        <v>2</v>
      </c>
      <c r="L44" s="44">
        <v>201.6</v>
      </c>
      <c r="M44" s="44"/>
      <c r="N44" s="44"/>
      <c r="O44" s="44">
        <v>4</v>
      </c>
      <c r="P44" s="44">
        <v>686.1</v>
      </c>
      <c r="Q44" s="44"/>
      <c r="R44" s="44"/>
    </row>
    <row r="45" spans="1:18">
      <c r="A45" s="33"/>
      <c r="B45" s="29" t="s">
        <v>134</v>
      </c>
      <c r="C45" s="31">
        <f>C44+C43+C42+C41+C40+C39+C38+C37+C36+C35+C34+C33+C32+C31+C30+C29+C28+C27+C26+C25+C24+C23</f>
        <v>40044.100000000006</v>
      </c>
      <c r="D45" s="54">
        <f t="shared" ref="D45:E45" si="2">D44+D43+D42+D41+D40+D39+D38+D37+D36+D35+D34+D33+D32+D31+D30+D29+D28+D27+D26+D25+D24+D23</f>
        <v>29460.670000000002</v>
      </c>
      <c r="E45" s="31">
        <f t="shared" si="2"/>
        <v>16150.589999999997</v>
      </c>
      <c r="F45" s="41">
        <f>F44+F43+F42+F41+F40+F39+F38+F37+F36+F35+F34+F33+F32+F31+F30+F29+F28+F27+F26+F25+F24+F23</f>
        <v>5810.7999999999984</v>
      </c>
      <c r="G45" s="41">
        <f t="shared" ref="G45:H45" si="3">G42+G39+G35+G27+G23+G24+G25+G26+G28+G29+G30+G31+G32+G33+G34+G36+G37+G38+G40+G41+G43+G44</f>
        <v>227</v>
      </c>
      <c r="H45" s="41">
        <f t="shared" si="3"/>
        <v>11174.7</v>
      </c>
      <c r="I45" s="41">
        <f>I42+I39+I35+I27+I23+I24+I25+I26+I28+I29+I30+I31+I32+I33+I34+I36+I37+I38+I40+I41+I43+I44</f>
        <v>18</v>
      </c>
      <c r="J45" s="41">
        <f t="shared" ref="J45:R45" si="4">J42+J39+J35+J27+J23+J24+J25+J26+J28+J29+J30+J31+J32+J33+J34+J36+J37+J38+J40+J41+J43+J44</f>
        <v>1501.4</v>
      </c>
      <c r="K45" s="41">
        <f t="shared" si="4"/>
        <v>26</v>
      </c>
      <c r="L45" s="41">
        <f t="shared" si="4"/>
        <v>2555.7999999999997</v>
      </c>
      <c r="M45" s="41">
        <f t="shared" si="4"/>
        <v>27</v>
      </c>
      <c r="N45" s="41">
        <f t="shared" si="4"/>
        <v>4599.2000000000007</v>
      </c>
      <c r="O45" s="41">
        <f t="shared" si="4"/>
        <v>10</v>
      </c>
      <c r="P45" s="41">
        <f t="shared" si="4"/>
        <v>1720.1999999999998</v>
      </c>
      <c r="Q45" s="41">
        <f t="shared" si="4"/>
        <v>0</v>
      </c>
      <c r="R45" s="41">
        <f t="shared" si="4"/>
        <v>0</v>
      </c>
    </row>
    <row r="46" spans="1:18" ht="14.4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1"/>
    </row>
    <row r="47" spans="1:18" ht="15.6">
      <c r="A47" s="125" t="s">
        <v>158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1"/>
    </row>
    <row r="48" spans="1:18">
      <c r="A48" s="33">
        <v>60</v>
      </c>
      <c r="B48" s="33">
        <v>124</v>
      </c>
      <c r="C48" s="42">
        <v>1263.7</v>
      </c>
      <c r="D48" s="64">
        <v>939.9</v>
      </c>
      <c r="E48" s="30">
        <v>648.29999999999995</v>
      </c>
      <c r="F48" s="30">
        <v>225.4</v>
      </c>
      <c r="G48" s="30">
        <v>3</v>
      </c>
      <c r="H48" s="30">
        <v>169.4</v>
      </c>
      <c r="I48" s="30" t="s">
        <v>159</v>
      </c>
      <c r="J48" s="30">
        <v>428.1</v>
      </c>
      <c r="K48" s="30"/>
      <c r="L48" s="30"/>
      <c r="M48" s="30">
        <v>2</v>
      </c>
      <c r="N48" s="30">
        <v>342.4</v>
      </c>
      <c r="O48" s="30"/>
      <c r="P48" s="30"/>
      <c r="Q48" s="30"/>
      <c r="R48" s="30"/>
    </row>
    <row r="49" spans="1:18">
      <c r="A49" s="33">
        <v>61</v>
      </c>
      <c r="B49" s="33">
        <v>126</v>
      </c>
      <c r="C49" s="42">
        <v>2516.5</v>
      </c>
      <c r="D49" s="64">
        <v>1873.6</v>
      </c>
      <c r="E49" s="30">
        <v>1283.5</v>
      </c>
      <c r="F49" s="30">
        <v>446.1</v>
      </c>
      <c r="G49" s="30">
        <v>6</v>
      </c>
      <c r="H49" s="30">
        <v>338.2</v>
      </c>
      <c r="I49" s="30" t="s">
        <v>160</v>
      </c>
      <c r="J49" s="30">
        <v>850.3</v>
      </c>
      <c r="K49" s="30"/>
      <c r="L49" s="30"/>
      <c r="M49" s="30">
        <v>4</v>
      </c>
      <c r="N49" s="30">
        <v>685.1</v>
      </c>
      <c r="O49" s="30"/>
      <c r="P49" s="30"/>
      <c r="Q49" s="30"/>
      <c r="R49" s="30"/>
    </row>
    <row r="50" spans="1:18">
      <c r="A50" s="33">
        <v>62</v>
      </c>
      <c r="B50" s="68">
        <v>128</v>
      </c>
      <c r="C50" s="42">
        <v>2584.6999999999998</v>
      </c>
      <c r="D50" s="64">
        <v>1886.7</v>
      </c>
      <c r="E50" s="30">
        <v>1295.8</v>
      </c>
      <c r="F50" s="30">
        <v>501.2</v>
      </c>
      <c r="G50" s="30">
        <v>6</v>
      </c>
      <c r="H50" s="30">
        <v>339.2</v>
      </c>
      <c r="I50" s="30" t="s">
        <v>161</v>
      </c>
      <c r="J50" s="30">
        <v>860.6</v>
      </c>
      <c r="K50" s="30"/>
      <c r="L50" s="30"/>
      <c r="M50" s="30">
        <v>4</v>
      </c>
      <c r="N50" s="30">
        <v>686.9</v>
      </c>
      <c r="O50" s="30"/>
      <c r="P50" s="30"/>
      <c r="Q50" s="30"/>
      <c r="R50" s="30"/>
    </row>
    <row r="51" spans="1:18">
      <c r="A51" s="33">
        <v>63</v>
      </c>
      <c r="B51" s="68">
        <v>130</v>
      </c>
      <c r="C51" s="42">
        <v>1197.4000000000001</v>
      </c>
      <c r="D51" s="64">
        <v>888</v>
      </c>
      <c r="E51" s="30">
        <v>407</v>
      </c>
      <c r="F51" s="30">
        <v>21.6</v>
      </c>
      <c r="G51" s="30">
        <v>12</v>
      </c>
      <c r="H51" s="30">
        <v>558.79999999999995</v>
      </c>
      <c r="I51" s="30" t="s">
        <v>162</v>
      </c>
      <c r="J51" s="30">
        <v>329.2</v>
      </c>
      <c r="K51" s="30"/>
      <c r="L51" s="30"/>
      <c r="M51" s="30"/>
      <c r="N51" s="30"/>
      <c r="O51" s="30"/>
      <c r="P51" s="30"/>
      <c r="Q51" s="30"/>
      <c r="R51" s="30"/>
    </row>
    <row r="52" spans="1:18">
      <c r="A52" s="33">
        <v>64</v>
      </c>
      <c r="B52" s="33">
        <v>132</v>
      </c>
      <c r="C52" s="42">
        <v>3790.7</v>
      </c>
      <c r="D52" s="64">
        <v>2823.5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18">
      <c r="A53" s="33">
        <v>65</v>
      </c>
      <c r="B53" s="33">
        <v>134</v>
      </c>
      <c r="C53" s="42">
        <v>2537.3000000000002</v>
      </c>
      <c r="D53" s="64">
        <v>1889.2</v>
      </c>
      <c r="E53" s="30">
        <v>1303.7</v>
      </c>
      <c r="F53" s="30">
        <v>451.3</v>
      </c>
      <c r="G53" s="30">
        <v>6</v>
      </c>
      <c r="H53" s="30">
        <v>339.2</v>
      </c>
      <c r="I53" s="30" t="s">
        <v>163</v>
      </c>
      <c r="J53" s="30">
        <v>864.9</v>
      </c>
      <c r="K53" s="30"/>
      <c r="L53" s="30"/>
      <c r="M53" s="30">
        <v>4</v>
      </c>
      <c r="N53" s="30">
        <v>685.1</v>
      </c>
      <c r="O53" s="30"/>
      <c r="P53" s="30"/>
      <c r="Q53" s="30"/>
      <c r="R53" s="30"/>
    </row>
    <row r="54" spans="1:18">
      <c r="A54" s="33">
        <v>66</v>
      </c>
      <c r="B54" s="68" t="s">
        <v>164</v>
      </c>
      <c r="C54" s="42">
        <v>896.9</v>
      </c>
      <c r="D54" s="64">
        <v>670.1</v>
      </c>
      <c r="E54" s="30">
        <v>393.6</v>
      </c>
      <c r="F54" s="30">
        <v>157.19999999999999</v>
      </c>
      <c r="G54" s="30">
        <v>2</v>
      </c>
      <c r="H54" s="30">
        <v>76.2</v>
      </c>
      <c r="I54" s="30" t="s">
        <v>165</v>
      </c>
      <c r="J54" s="30">
        <v>247.3</v>
      </c>
      <c r="K54" s="30">
        <v>3</v>
      </c>
      <c r="L54" s="30">
        <v>244.5</v>
      </c>
      <c r="M54" s="30">
        <v>1</v>
      </c>
      <c r="N54" s="30">
        <v>102.1</v>
      </c>
      <c r="O54" s="30"/>
      <c r="P54" s="30"/>
      <c r="Q54" s="30"/>
      <c r="R54" s="30"/>
    </row>
    <row r="55" spans="1:18" s="65" customFormat="1">
      <c r="A55" s="43">
        <v>67</v>
      </c>
      <c r="B55" s="44" t="s">
        <v>166</v>
      </c>
      <c r="C55" s="67">
        <v>894.6</v>
      </c>
      <c r="D55" s="64">
        <v>685</v>
      </c>
      <c r="E55" s="44">
        <v>392.6</v>
      </c>
      <c r="F55" s="44">
        <v>134.5</v>
      </c>
      <c r="G55" s="44">
        <v>3</v>
      </c>
      <c r="H55" s="44">
        <v>115.3</v>
      </c>
      <c r="I55" s="44" t="s">
        <v>167</v>
      </c>
      <c r="J55" s="44">
        <v>260.89999999999998</v>
      </c>
      <c r="K55" s="44">
        <v>2</v>
      </c>
      <c r="L55" s="44">
        <v>176.7</v>
      </c>
      <c r="M55" s="44">
        <v>1</v>
      </c>
      <c r="N55" s="44">
        <v>102.1</v>
      </c>
      <c r="O55" s="44"/>
      <c r="P55" s="44"/>
      <c r="Q55" s="44"/>
      <c r="R55" s="44"/>
    </row>
    <row r="56" spans="1:18" s="65" customFormat="1">
      <c r="A56" s="43">
        <v>68</v>
      </c>
      <c r="B56" s="44" t="s">
        <v>168</v>
      </c>
      <c r="C56" s="67">
        <v>925.9</v>
      </c>
      <c r="D56" s="64">
        <v>691.3</v>
      </c>
      <c r="E56" s="44">
        <v>486.7</v>
      </c>
      <c r="F56" s="44">
        <v>165</v>
      </c>
      <c r="G56" s="44">
        <v>8</v>
      </c>
      <c r="H56" s="44">
        <v>245</v>
      </c>
      <c r="I56" s="44" t="s">
        <v>169</v>
      </c>
      <c r="J56" s="44">
        <v>268.10000000000002</v>
      </c>
      <c r="K56" s="44">
        <v>0</v>
      </c>
      <c r="L56" s="44"/>
      <c r="M56" s="44">
        <v>2</v>
      </c>
      <c r="N56" s="44">
        <v>178.2</v>
      </c>
      <c r="O56" s="44"/>
      <c r="P56" s="44"/>
      <c r="Q56" s="44"/>
      <c r="R56" s="44"/>
    </row>
    <row r="57" spans="1:18">
      <c r="A57" s="33">
        <v>69</v>
      </c>
      <c r="B57" s="44">
        <v>136</v>
      </c>
      <c r="C57" s="42">
        <v>1267.9000000000001</v>
      </c>
      <c r="D57" s="34">
        <v>943</v>
      </c>
      <c r="E57" s="30">
        <v>733.6</v>
      </c>
      <c r="F57" s="30">
        <v>226.5</v>
      </c>
      <c r="G57" s="30">
        <v>0</v>
      </c>
      <c r="H57" s="30"/>
      <c r="I57" s="30">
        <v>0</v>
      </c>
      <c r="J57" s="30"/>
      <c r="K57" s="30">
        <v>6</v>
      </c>
      <c r="L57" s="30">
        <v>601.20000000000005</v>
      </c>
      <c r="M57" s="30">
        <v>0</v>
      </c>
      <c r="N57" s="30"/>
      <c r="O57" s="30">
        <v>2</v>
      </c>
      <c r="P57" s="30">
        <v>341.8</v>
      </c>
      <c r="Q57" s="30"/>
      <c r="R57" s="30"/>
    </row>
    <row r="58" spans="1:18" s="65" customFormat="1">
      <c r="A58" s="43">
        <v>70</v>
      </c>
      <c r="B58" s="44" t="s">
        <v>170</v>
      </c>
      <c r="C58" s="67">
        <v>1799.8</v>
      </c>
      <c r="D58" s="64">
        <v>1340.2</v>
      </c>
      <c r="E58" s="44">
        <v>787.2</v>
      </c>
      <c r="F58" s="44">
        <v>320.39999999999998</v>
      </c>
      <c r="G58" s="44">
        <v>4</v>
      </c>
      <c r="H58" s="44">
        <v>152.4</v>
      </c>
      <c r="I58" s="44" t="s">
        <v>171</v>
      </c>
      <c r="J58" s="44">
        <v>494.6</v>
      </c>
      <c r="K58" s="44">
        <v>6</v>
      </c>
      <c r="L58" s="44">
        <v>489</v>
      </c>
      <c r="M58" s="44">
        <v>2</v>
      </c>
      <c r="N58" s="44">
        <v>204.2</v>
      </c>
      <c r="O58" s="44">
        <v>0</v>
      </c>
      <c r="P58" s="44"/>
      <c r="Q58" s="44"/>
      <c r="R58" s="44"/>
    </row>
    <row r="59" spans="1:18" s="32" customFormat="1">
      <c r="A59" s="29"/>
      <c r="B59" s="31" t="s">
        <v>134</v>
      </c>
      <c r="C59" s="45">
        <f>C58+C57+C56+C55+C54+C53+C52+C51+C50+C49+C48</f>
        <v>19675.399999999998</v>
      </c>
      <c r="D59" s="55">
        <f t="shared" ref="D59:F59" si="5">D58+D57+D56+D55+D54+D53+D52+D51+D50+D49+D48</f>
        <v>14630.5</v>
      </c>
      <c r="E59" s="45">
        <f t="shared" si="5"/>
        <v>7732.0000000000009</v>
      </c>
      <c r="F59" s="45">
        <f t="shared" si="5"/>
        <v>2649.2</v>
      </c>
      <c r="G59" s="31">
        <f>G58+G57+G56+G55+G54+G53+G52+G51+G50+G49+G48</f>
        <v>50</v>
      </c>
      <c r="H59" s="31">
        <f t="shared" ref="H59:P59" si="6">H58+H57+H56+H55+H54+H53+H52+H51+H50+H49+H48</f>
        <v>2333.6999999999998</v>
      </c>
      <c r="I59" s="31" t="e">
        <f t="shared" si="6"/>
        <v>#VALUE!</v>
      </c>
      <c r="J59" s="31">
        <f t="shared" si="6"/>
        <v>4604</v>
      </c>
      <c r="K59" s="31">
        <f t="shared" si="6"/>
        <v>17</v>
      </c>
      <c r="L59" s="31">
        <f t="shared" si="6"/>
        <v>1511.4</v>
      </c>
      <c r="M59" s="31">
        <f t="shared" si="6"/>
        <v>20</v>
      </c>
      <c r="N59" s="31">
        <f t="shared" si="6"/>
        <v>2986.1</v>
      </c>
      <c r="O59" s="31">
        <f t="shared" si="6"/>
        <v>2</v>
      </c>
      <c r="P59" s="31">
        <f t="shared" si="6"/>
        <v>341.8</v>
      </c>
      <c r="Q59" s="31"/>
      <c r="R59" s="31"/>
    </row>
    <row r="60" spans="1:18" ht="14.4">
      <c r="A60" s="120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</row>
    <row r="61" spans="1:18" ht="15.6">
      <c r="A61" s="125" t="s">
        <v>172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1"/>
    </row>
    <row r="62" spans="1:18" s="65" customFormat="1">
      <c r="A62" s="43">
        <v>71</v>
      </c>
      <c r="B62" s="44" t="s">
        <v>173</v>
      </c>
      <c r="C62" s="44">
        <v>2554.4</v>
      </c>
      <c r="D62" s="64">
        <v>1902.3</v>
      </c>
      <c r="E62" s="44">
        <v>1103.4000000000001</v>
      </c>
      <c r="F62" s="44">
        <v>458.5</v>
      </c>
      <c r="G62" s="44" t="s">
        <v>174</v>
      </c>
      <c r="H62" s="44">
        <v>752</v>
      </c>
      <c r="I62" s="44" t="s">
        <v>175</v>
      </c>
      <c r="J62" s="44"/>
      <c r="K62" s="44"/>
      <c r="L62" s="44"/>
      <c r="M62" s="44"/>
      <c r="N62" s="44"/>
      <c r="O62" s="44"/>
      <c r="P62" s="44"/>
      <c r="Q62" s="44"/>
      <c r="R62" s="44"/>
    </row>
    <row r="63" spans="1:18" s="65" customFormat="1">
      <c r="A63" s="43">
        <v>72</v>
      </c>
      <c r="B63" s="44" t="s">
        <v>176</v>
      </c>
      <c r="C63" s="44">
        <v>1781.8</v>
      </c>
      <c r="D63" s="64">
        <v>1369.8</v>
      </c>
      <c r="E63" s="44">
        <v>821.5</v>
      </c>
      <c r="F63" s="44">
        <v>265.8</v>
      </c>
      <c r="G63" s="44" t="s">
        <v>177</v>
      </c>
      <c r="H63" s="44">
        <v>230.3</v>
      </c>
      <c r="I63" s="44" t="s">
        <v>178</v>
      </c>
      <c r="J63" s="44"/>
      <c r="K63" s="44" t="s">
        <v>179</v>
      </c>
      <c r="L63" s="44"/>
      <c r="M63" s="44" t="s">
        <v>180</v>
      </c>
      <c r="N63" s="44"/>
      <c r="O63" s="44"/>
      <c r="P63" s="44"/>
      <c r="Q63" s="44"/>
      <c r="R63" s="44"/>
    </row>
    <row r="64" spans="1:18" s="65" customFormat="1">
      <c r="A64" s="43">
        <v>73</v>
      </c>
      <c r="B64" s="44" t="s">
        <v>181</v>
      </c>
      <c r="C64" s="44">
        <v>1718.4</v>
      </c>
      <c r="D64" s="64">
        <v>1380.7</v>
      </c>
      <c r="E64" s="44">
        <v>718.8</v>
      </c>
      <c r="F64" s="44">
        <v>337.7</v>
      </c>
      <c r="G64" s="44" t="s">
        <v>182</v>
      </c>
      <c r="H64" s="44">
        <v>455.7</v>
      </c>
      <c r="I64" s="44" t="s">
        <v>183</v>
      </c>
      <c r="J64" s="44"/>
      <c r="K64" s="44"/>
      <c r="L64" s="44"/>
      <c r="M64" s="44" t="s">
        <v>184</v>
      </c>
      <c r="N64" s="44"/>
      <c r="O64" s="44"/>
      <c r="P64" s="44"/>
      <c r="Q64" s="44"/>
      <c r="R64" s="44"/>
    </row>
    <row r="65" spans="1:18" s="65" customFormat="1">
      <c r="A65" s="43">
        <v>74</v>
      </c>
      <c r="B65" s="44" t="s">
        <v>185</v>
      </c>
      <c r="C65" s="44">
        <v>1721</v>
      </c>
      <c r="D65" s="64">
        <v>1383</v>
      </c>
      <c r="E65" s="44">
        <v>700.8</v>
      </c>
      <c r="F65" s="44">
        <v>338</v>
      </c>
      <c r="G65" s="44" t="s">
        <v>186</v>
      </c>
      <c r="H65" s="44">
        <v>599.29999999999995</v>
      </c>
      <c r="I65" s="44" t="s">
        <v>187</v>
      </c>
      <c r="J65" s="44"/>
      <c r="K65" s="44"/>
      <c r="L65" s="44"/>
      <c r="M65" s="44" t="s">
        <v>184</v>
      </c>
      <c r="N65" s="44"/>
      <c r="O65" s="44"/>
      <c r="P65" s="44"/>
      <c r="Q65" s="44"/>
      <c r="R65" s="44"/>
    </row>
    <row r="66" spans="1:18" s="65" customFormat="1">
      <c r="A66" s="43">
        <v>75</v>
      </c>
      <c r="B66" s="44" t="s">
        <v>188</v>
      </c>
      <c r="C66" s="44">
        <v>3439.4</v>
      </c>
      <c r="D66" s="64">
        <v>2763.7</v>
      </c>
      <c r="E66" s="44">
        <v>1419.6</v>
      </c>
      <c r="F66" s="44">
        <v>675.7</v>
      </c>
      <c r="G66" s="44" t="s">
        <v>189</v>
      </c>
      <c r="H66" s="44">
        <v>1055</v>
      </c>
      <c r="I66" s="44" t="s">
        <v>190</v>
      </c>
      <c r="J66" s="44"/>
      <c r="K66" s="44"/>
      <c r="L66" s="44"/>
      <c r="M66" s="44" t="s">
        <v>191</v>
      </c>
      <c r="N66" s="44"/>
      <c r="O66" s="44"/>
      <c r="P66" s="44"/>
      <c r="Q66" s="44"/>
      <c r="R66" s="44"/>
    </row>
    <row r="67" spans="1:18" s="65" customFormat="1">
      <c r="A67" s="43">
        <v>76</v>
      </c>
      <c r="B67" s="44">
        <v>160</v>
      </c>
      <c r="C67" s="44">
        <v>1789.9</v>
      </c>
      <c r="D67" s="64">
        <v>1370.5</v>
      </c>
      <c r="E67" s="44">
        <v>822.1</v>
      </c>
      <c r="F67" s="44">
        <v>312.2</v>
      </c>
      <c r="G67" s="44" t="s">
        <v>192</v>
      </c>
      <c r="H67" s="44">
        <v>230.6</v>
      </c>
      <c r="I67" s="44" t="s">
        <v>193</v>
      </c>
      <c r="J67" s="44"/>
      <c r="K67" s="44" t="s">
        <v>179</v>
      </c>
      <c r="L67" s="44"/>
      <c r="M67" s="44" t="s">
        <v>180</v>
      </c>
      <c r="N67" s="44"/>
      <c r="O67" s="44"/>
      <c r="P67" s="44"/>
      <c r="Q67" s="44"/>
      <c r="R67" s="44"/>
    </row>
    <row r="68" spans="1:18" s="65" customFormat="1">
      <c r="A68" s="43">
        <v>77</v>
      </c>
      <c r="B68" s="44">
        <v>162</v>
      </c>
      <c r="C68" s="44">
        <v>899.9</v>
      </c>
      <c r="D68" s="64">
        <v>670.1</v>
      </c>
      <c r="E68" s="44">
        <v>393.6</v>
      </c>
      <c r="F68" s="44">
        <v>160.19999999999999</v>
      </c>
      <c r="G68" s="44" t="s">
        <v>194</v>
      </c>
      <c r="H68" s="44">
        <v>76.2</v>
      </c>
      <c r="I68" s="44" t="s">
        <v>165</v>
      </c>
      <c r="J68" s="44"/>
      <c r="K68" s="44" t="s">
        <v>195</v>
      </c>
      <c r="L68" s="44"/>
      <c r="M68" s="44" t="s">
        <v>196</v>
      </c>
      <c r="N68" s="44"/>
      <c r="O68" s="44"/>
      <c r="P68" s="44"/>
      <c r="Q68" s="44"/>
      <c r="R68" s="44"/>
    </row>
    <row r="69" spans="1:18" s="65" customFormat="1">
      <c r="A69" s="43">
        <v>78</v>
      </c>
      <c r="B69" s="44">
        <v>164</v>
      </c>
      <c r="C69" s="44">
        <v>1074.5</v>
      </c>
      <c r="D69" s="64">
        <v>710.1</v>
      </c>
      <c r="E69" s="44">
        <v>382.3</v>
      </c>
      <c r="F69" s="44">
        <v>165.7</v>
      </c>
      <c r="G69" s="44" t="s">
        <v>197</v>
      </c>
      <c r="H69" s="44">
        <v>586.70000000000005</v>
      </c>
      <c r="I69" s="44" t="s">
        <v>198</v>
      </c>
      <c r="J69" s="44"/>
      <c r="K69" s="44"/>
      <c r="L69" s="44"/>
      <c r="M69" s="44"/>
      <c r="N69" s="44"/>
      <c r="O69" s="44"/>
      <c r="P69" s="44"/>
      <c r="Q69" s="44"/>
      <c r="R69" s="44"/>
    </row>
    <row r="70" spans="1:18" s="65" customFormat="1">
      <c r="A70" s="43">
        <v>79</v>
      </c>
      <c r="B70" s="44">
        <v>166</v>
      </c>
      <c r="C70" s="44">
        <v>2017.8</v>
      </c>
      <c r="D70" s="64">
        <v>1355.3</v>
      </c>
      <c r="E70" s="44">
        <v>802.9</v>
      </c>
      <c r="F70" s="44">
        <v>316.60000000000002</v>
      </c>
      <c r="G70" s="44" t="s">
        <v>199</v>
      </c>
      <c r="H70" s="44">
        <v>768.7</v>
      </c>
      <c r="I70" s="44" t="s">
        <v>200</v>
      </c>
      <c r="J70" s="44"/>
      <c r="K70" s="44" t="s">
        <v>201</v>
      </c>
      <c r="L70" s="44"/>
      <c r="M70" s="44"/>
      <c r="N70" s="44"/>
      <c r="O70" s="44"/>
      <c r="P70" s="44"/>
      <c r="Q70" s="44"/>
      <c r="R70" s="44"/>
    </row>
    <row r="71" spans="1:18" s="65" customFormat="1">
      <c r="A71" s="43">
        <v>80</v>
      </c>
      <c r="B71" s="44">
        <v>168</v>
      </c>
      <c r="C71" s="44">
        <v>2006.9</v>
      </c>
      <c r="D71" s="64">
        <v>1334.5</v>
      </c>
      <c r="E71" s="44">
        <v>716.1</v>
      </c>
      <c r="F71" s="44">
        <v>315.60000000000002</v>
      </c>
      <c r="G71" s="44" t="s">
        <v>202</v>
      </c>
      <c r="H71" s="44">
        <v>684.5</v>
      </c>
      <c r="I71" s="44" t="s">
        <v>203</v>
      </c>
      <c r="J71" s="44"/>
      <c r="K71" s="44"/>
      <c r="L71" s="44"/>
      <c r="M71" s="44"/>
      <c r="N71" s="44"/>
      <c r="O71" s="44"/>
      <c r="P71" s="44"/>
      <c r="Q71" s="44"/>
      <c r="R71" s="44"/>
    </row>
    <row r="72" spans="1:18" s="65" customFormat="1">
      <c r="A72" s="43">
        <v>81</v>
      </c>
      <c r="B72" s="44">
        <v>170</v>
      </c>
      <c r="C72" s="44">
        <v>2086.6999999999998</v>
      </c>
      <c r="D72" s="64">
        <v>1385.4</v>
      </c>
      <c r="E72" s="44">
        <v>743.9</v>
      </c>
      <c r="F72" s="44">
        <v>323.7</v>
      </c>
      <c r="G72" s="44" t="s">
        <v>204</v>
      </c>
      <c r="H72" s="44">
        <v>687.2</v>
      </c>
      <c r="I72" s="44" t="s">
        <v>205</v>
      </c>
      <c r="J72" s="44"/>
      <c r="K72" s="44"/>
      <c r="L72" s="44"/>
      <c r="M72" s="44"/>
      <c r="N72" s="44"/>
      <c r="O72" s="44"/>
      <c r="P72" s="44"/>
      <c r="Q72" s="44"/>
      <c r="R72" s="44"/>
    </row>
    <row r="73" spans="1:18" s="65" customFormat="1">
      <c r="A73" s="43">
        <v>82</v>
      </c>
      <c r="B73" s="44">
        <v>172</v>
      </c>
      <c r="C73" s="44">
        <v>1822</v>
      </c>
      <c r="D73" s="64">
        <v>1373.8</v>
      </c>
      <c r="E73" s="44">
        <v>932</v>
      </c>
      <c r="F73" s="44">
        <v>260.2</v>
      </c>
      <c r="G73" s="44" t="s">
        <v>206</v>
      </c>
      <c r="H73" s="44">
        <v>350.2</v>
      </c>
      <c r="I73" s="44" t="s">
        <v>207</v>
      </c>
      <c r="J73" s="44"/>
      <c r="K73" s="44" t="s">
        <v>208</v>
      </c>
      <c r="L73" s="44"/>
      <c r="M73" s="44"/>
      <c r="N73" s="44"/>
      <c r="O73" s="44"/>
      <c r="P73" s="44"/>
      <c r="Q73" s="44"/>
      <c r="R73" s="44"/>
    </row>
    <row r="74" spans="1:18" s="65" customFormat="1">
      <c r="A74" s="43">
        <v>83</v>
      </c>
      <c r="B74" s="44">
        <v>174</v>
      </c>
      <c r="C74" s="44">
        <v>1830.7</v>
      </c>
      <c r="D74" s="64">
        <v>1380.7</v>
      </c>
      <c r="E74" s="44">
        <v>935.1</v>
      </c>
      <c r="F74" s="44">
        <v>260.2</v>
      </c>
      <c r="G74" s="44" t="s">
        <v>209</v>
      </c>
      <c r="H74" s="44">
        <v>563.9</v>
      </c>
      <c r="I74" s="44" t="s">
        <v>210</v>
      </c>
      <c r="J74" s="44"/>
      <c r="K74" s="44" t="s">
        <v>211</v>
      </c>
      <c r="L74" s="44"/>
      <c r="M74" s="44"/>
      <c r="N74" s="44"/>
      <c r="O74" s="44"/>
      <c r="P74" s="44"/>
      <c r="Q74" s="44"/>
      <c r="R74" s="44"/>
    </row>
    <row r="75" spans="1:18" s="65" customFormat="1">
      <c r="A75" s="43">
        <v>84</v>
      </c>
      <c r="B75" s="44">
        <v>178</v>
      </c>
      <c r="C75" s="44">
        <v>1836.2</v>
      </c>
      <c r="D75" s="64">
        <v>1370</v>
      </c>
      <c r="E75" s="44">
        <v>685.6</v>
      </c>
      <c r="F75" s="44">
        <v>274</v>
      </c>
      <c r="G75" s="44" t="s">
        <v>212</v>
      </c>
      <c r="H75" s="44">
        <v>1242.5999999999999</v>
      </c>
      <c r="I75" s="44"/>
      <c r="J75" s="44"/>
      <c r="K75" s="44" t="s">
        <v>213</v>
      </c>
      <c r="L75" s="44"/>
      <c r="M75" s="44"/>
      <c r="N75" s="44"/>
      <c r="O75" s="44"/>
      <c r="P75" s="44"/>
      <c r="Q75" s="44"/>
      <c r="R75" s="44"/>
    </row>
    <row r="76" spans="1:18" s="65" customFormat="1">
      <c r="A76" s="43">
        <v>85</v>
      </c>
      <c r="B76" s="44">
        <v>180</v>
      </c>
      <c r="C76" s="44">
        <v>1892.1</v>
      </c>
      <c r="D76" s="64">
        <v>1407</v>
      </c>
      <c r="E76" s="44">
        <v>696</v>
      </c>
      <c r="F76" s="44">
        <v>299.10000000000002</v>
      </c>
      <c r="G76" s="44" t="s">
        <v>214</v>
      </c>
      <c r="H76" s="44">
        <v>1407</v>
      </c>
      <c r="I76" s="44"/>
      <c r="J76" s="44"/>
      <c r="K76" s="44"/>
      <c r="L76" s="44"/>
      <c r="M76" s="44"/>
      <c r="N76" s="44"/>
      <c r="O76" s="44"/>
      <c r="P76" s="44"/>
      <c r="Q76" s="44"/>
      <c r="R76" s="44"/>
    </row>
    <row r="77" spans="1:18" s="65" customFormat="1">
      <c r="A77" s="43">
        <v>86</v>
      </c>
      <c r="B77" s="44">
        <v>182</v>
      </c>
      <c r="C77" s="44">
        <v>2040.6</v>
      </c>
      <c r="D77" s="64">
        <v>1370</v>
      </c>
      <c r="E77" s="44">
        <v>659</v>
      </c>
      <c r="F77" s="44">
        <v>315.3</v>
      </c>
      <c r="G77" s="44" t="s">
        <v>215</v>
      </c>
      <c r="H77" s="66"/>
      <c r="I77" s="44"/>
      <c r="J77" s="44"/>
      <c r="K77" s="44"/>
      <c r="L77" s="44"/>
      <c r="M77" s="44"/>
      <c r="N77" s="44"/>
      <c r="O77" s="44"/>
      <c r="P77" s="44"/>
      <c r="Q77" s="44"/>
      <c r="R77" s="44"/>
    </row>
    <row r="78" spans="1:18" s="65" customFormat="1">
      <c r="A78" s="43">
        <v>87</v>
      </c>
      <c r="B78" s="44">
        <v>184</v>
      </c>
      <c r="C78" s="44">
        <v>1864.8</v>
      </c>
      <c r="D78" s="64">
        <v>1390.9</v>
      </c>
      <c r="E78" s="44">
        <v>764.4</v>
      </c>
      <c r="F78" s="44">
        <v>325.10000000000002</v>
      </c>
      <c r="G78" s="44" t="s">
        <v>216</v>
      </c>
      <c r="H78" s="66"/>
      <c r="I78" s="44" t="s">
        <v>217</v>
      </c>
      <c r="J78" s="44"/>
      <c r="K78" s="44" t="s">
        <v>218</v>
      </c>
      <c r="L78" s="44"/>
      <c r="M78" s="44"/>
      <c r="N78" s="44"/>
      <c r="O78" s="44"/>
      <c r="P78" s="44"/>
      <c r="Q78" s="44"/>
      <c r="R78" s="44"/>
    </row>
    <row r="79" spans="1:18">
      <c r="A79" s="33"/>
      <c r="B79" s="31" t="s">
        <v>134</v>
      </c>
      <c r="C79" s="31">
        <f>C78+C77+C76+C75+C74+C73+C72+C71+C70+C69+C68+C67+C66+C63+C62</f>
        <v>28937.700000000004</v>
      </c>
      <c r="D79" s="54">
        <f>D78+D77+D76+D75+D74+D73+D72+D71+D70+D69+D68+D67+D66+D63+D62</f>
        <v>21154.1</v>
      </c>
      <c r="E79" s="31">
        <f>E78+E77+E76+E75+E74+E73+E72+E71+E70+E69+E68+E67+E66+E63+E62</f>
        <v>11877.5</v>
      </c>
      <c r="F79" s="31">
        <f>F78+F77+F76+F75+F74+F73+F72+F71+F70+F69+F68+F67+F66+F63+F62</f>
        <v>4727.8999999999996</v>
      </c>
      <c r="G79" s="31"/>
      <c r="H79" s="46"/>
      <c r="I79" s="31"/>
      <c r="J79" s="31"/>
      <c r="K79" s="31"/>
      <c r="L79" s="31"/>
      <c r="M79" s="31">
        <v>9</v>
      </c>
      <c r="N79" s="31"/>
      <c r="O79" s="31"/>
      <c r="P79" s="31"/>
      <c r="Q79" s="31"/>
      <c r="R79" s="30"/>
    </row>
    <row r="80" spans="1:18" ht="14.4">
      <c r="A80" s="120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</row>
    <row r="81" spans="1:18" ht="15.6">
      <c r="A81" s="125" t="s">
        <v>219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1"/>
    </row>
    <row r="82" spans="1:18">
      <c r="A82" s="33">
        <v>88</v>
      </c>
      <c r="B82" s="30">
        <v>1</v>
      </c>
      <c r="C82" s="30"/>
      <c r="D82" s="34"/>
      <c r="E82" s="30"/>
      <c r="F82" s="44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1:18">
      <c r="A83" s="33">
        <v>89</v>
      </c>
      <c r="B83" s="30">
        <v>2</v>
      </c>
      <c r="C83" s="30"/>
      <c r="D83" s="34"/>
      <c r="E83" s="30"/>
      <c r="F83" s="44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1:18">
      <c r="A84" s="33">
        <v>90</v>
      </c>
      <c r="B84" s="30">
        <v>3</v>
      </c>
      <c r="C84" s="30"/>
      <c r="D84" s="34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1:18">
      <c r="A85" s="33">
        <v>91</v>
      </c>
      <c r="B85" s="30">
        <v>4</v>
      </c>
      <c r="C85" s="30"/>
      <c r="D85" s="34"/>
      <c r="E85" s="30"/>
      <c r="F85" s="44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</row>
    <row r="86" spans="1:18">
      <c r="A86" s="33">
        <v>92</v>
      </c>
      <c r="B86" s="30">
        <v>5</v>
      </c>
      <c r="C86" s="30"/>
      <c r="D86" s="34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1:18">
      <c r="A87" s="33">
        <v>93</v>
      </c>
      <c r="B87" s="30">
        <v>6</v>
      </c>
      <c r="C87" s="30"/>
      <c r="D87" s="34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1:18">
      <c r="A88" s="33">
        <v>94</v>
      </c>
      <c r="B88" s="30">
        <v>7</v>
      </c>
      <c r="C88" s="30"/>
      <c r="D88" s="34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1:18">
      <c r="A89" s="33">
        <v>95</v>
      </c>
      <c r="B89" s="30">
        <v>8</v>
      </c>
      <c r="C89" s="30"/>
      <c r="D89" s="34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1:18">
      <c r="A90" s="33">
        <v>96</v>
      </c>
      <c r="B90" s="30">
        <v>9</v>
      </c>
      <c r="C90" s="30"/>
      <c r="D90" s="34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1:18">
      <c r="A91" s="33">
        <v>97</v>
      </c>
      <c r="B91" s="30">
        <v>10</v>
      </c>
      <c r="C91" s="30"/>
      <c r="D91" s="34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1:18">
      <c r="A92" s="33">
        <v>98</v>
      </c>
      <c r="B92" s="30">
        <v>11</v>
      </c>
      <c r="C92" s="30"/>
      <c r="D92" s="34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1:18">
      <c r="A93" s="33">
        <v>99</v>
      </c>
      <c r="B93" s="30">
        <v>12</v>
      </c>
      <c r="C93" s="30"/>
      <c r="D93" s="34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1:18">
      <c r="A94" s="33"/>
      <c r="B94" s="30">
        <v>13</v>
      </c>
      <c r="C94" s="30"/>
      <c r="D94" s="34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1:18">
      <c r="A95" s="33"/>
      <c r="B95" s="30">
        <v>14</v>
      </c>
      <c r="C95" s="30"/>
      <c r="D95" s="34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1:18">
      <c r="A96" s="33"/>
      <c r="B96" s="30">
        <v>15</v>
      </c>
      <c r="C96" s="30"/>
      <c r="D96" s="34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1:18">
      <c r="A97" s="33"/>
      <c r="B97" s="30">
        <v>16</v>
      </c>
      <c r="C97" s="30"/>
      <c r="D97" s="34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1:18">
      <c r="A98" s="33"/>
      <c r="B98" s="30">
        <v>17</v>
      </c>
      <c r="C98" s="30"/>
      <c r="D98" s="34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1:18">
      <c r="A99" s="33"/>
      <c r="B99" s="30">
        <v>18</v>
      </c>
      <c r="C99" s="30"/>
      <c r="D99" s="34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1:18">
      <c r="A100" s="33"/>
      <c r="B100" s="30">
        <v>19</v>
      </c>
      <c r="C100" s="30"/>
      <c r="D100" s="34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1:18">
      <c r="A101" s="33"/>
      <c r="B101" s="30">
        <v>20</v>
      </c>
      <c r="C101" s="30"/>
      <c r="D101" s="34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1:18">
      <c r="A102" s="33"/>
      <c r="B102" s="30">
        <v>21</v>
      </c>
      <c r="C102" s="30"/>
      <c r="D102" s="34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1:18">
      <c r="A103" s="28"/>
      <c r="B103" s="28"/>
      <c r="C103" s="28"/>
      <c r="D103" s="56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</row>
    <row r="104" spans="1:18">
      <c r="A104" s="28"/>
      <c r="B104" s="28"/>
      <c r="C104" s="28"/>
      <c r="D104" s="56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</row>
    <row r="105" spans="1:18">
      <c r="A105" s="28"/>
      <c r="B105" s="28"/>
      <c r="C105" s="28"/>
      <c r="D105" s="56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spans="1:18">
      <c r="A106" s="127" t="s">
        <v>220</v>
      </c>
      <c r="B106" s="127"/>
      <c r="C106" s="47" t="e">
        <f>C79+C59+C45+#REF!+C20+#REF!</f>
        <v>#REF!</v>
      </c>
      <c r="D106" s="57" t="e">
        <f>D79+D59+D45+#REF!+D20+#REF!</f>
        <v>#REF!</v>
      </c>
      <c r="E106" s="47" t="e">
        <f>E79+E59+E45+#REF!+E20+#REF!</f>
        <v>#REF!</v>
      </c>
      <c r="F106" s="47" t="e">
        <f>F79+F59+F45+#REF!+F20+#REF!</f>
        <v>#REF!</v>
      </c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</row>
    <row r="107" spans="1:18">
      <c r="A107" s="116" t="s">
        <v>221</v>
      </c>
      <c r="B107" s="116"/>
      <c r="C107" s="28"/>
      <c r="D107" s="56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</row>
    <row r="108" spans="1:18" ht="14.4">
      <c r="A108" s="126" t="s">
        <v>222</v>
      </c>
      <c r="B108" s="126"/>
      <c r="C108" s="47">
        <f>C79+C59+C45+C20</f>
        <v>106487.70000000001</v>
      </c>
      <c r="D108" s="57">
        <f>D79+D59+D45+D20</f>
        <v>78993.77</v>
      </c>
      <c r="E108" s="47">
        <f>E79+E59+E45+E20</f>
        <v>44795.189999999995</v>
      </c>
      <c r="F108" s="47">
        <f>F79+F59+F45+F20</f>
        <v>15160.899999999998</v>
      </c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</row>
    <row r="109" spans="1:18" ht="14.4">
      <c r="A109" s="126" t="s">
        <v>223</v>
      </c>
      <c r="B109" s="126"/>
      <c r="C109" s="49" t="e">
        <f>#REF!+#REF!</f>
        <v>#REF!</v>
      </c>
      <c r="D109" s="58" t="e">
        <f>#REF!+#REF!</f>
        <v>#REF!</v>
      </c>
      <c r="E109" s="49" t="e">
        <f>#REF!+#REF!</f>
        <v>#REF!</v>
      </c>
      <c r="F109" s="49" t="e">
        <f>#REF!+#REF!</f>
        <v>#REF!</v>
      </c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</row>
    <row r="110" spans="1:18">
      <c r="A110" s="28"/>
      <c r="B110" s="28"/>
      <c r="C110" s="28"/>
      <c r="D110" s="59"/>
      <c r="E110" s="50"/>
      <c r="F110" s="50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</row>
    <row r="111" spans="1:18">
      <c r="A111" s="28"/>
      <c r="B111" s="28"/>
      <c r="C111" s="28"/>
      <c r="D111" s="59"/>
      <c r="E111" s="50"/>
      <c r="F111" s="50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</row>
    <row r="112" spans="1:18">
      <c r="A112" s="28"/>
      <c r="B112" s="28"/>
      <c r="C112" s="28"/>
      <c r="D112" s="56"/>
      <c r="E112" s="28"/>
      <c r="F112" s="51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</row>
    <row r="113" spans="4:6">
      <c r="D113" s="60" t="e">
        <f>D109+D108</f>
        <v>#REF!</v>
      </c>
      <c r="F113" s="53" t="e">
        <f>F108+F109</f>
        <v>#REF!</v>
      </c>
    </row>
    <row r="116" spans="4:6">
      <c r="E116" s="52" t="e">
        <f>F113+D113</f>
        <v>#REF!</v>
      </c>
      <c r="F116" s="27" t="e">
        <f>#REF!+#REF!</f>
        <v>#REF!</v>
      </c>
    </row>
    <row r="122" spans="4:6">
      <c r="D122" s="62">
        <f>D79+D59+D45+D20</f>
        <v>78993.77</v>
      </c>
    </row>
  </sheetData>
  <mergeCells count="28">
    <mergeCell ref="A107:B107"/>
    <mergeCell ref="A108:B108"/>
    <mergeCell ref="A109:B109"/>
    <mergeCell ref="A47:R47"/>
    <mergeCell ref="A60:R60"/>
    <mergeCell ref="A61:R61"/>
    <mergeCell ref="A80:R80"/>
    <mergeCell ref="A81:R81"/>
    <mergeCell ref="A106:B106"/>
    <mergeCell ref="A46:R46"/>
    <mergeCell ref="F3:F4"/>
    <mergeCell ref="G3:H3"/>
    <mergeCell ref="I3:J3"/>
    <mergeCell ref="K3:L3"/>
    <mergeCell ref="M3:N3"/>
    <mergeCell ref="O3:P3"/>
    <mergeCell ref="A6:R6"/>
    <mergeCell ref="A22:R22"/>
    <mergeCell ref="A1:R1"/>
    <mergeCell ref="A2:A4"/>
    <mergeCell ref="B2:B4"/>
    <mergeCell ref="C2:F2"/>
    <mergeCell ref="G2:P2"/>
    <mergeCell ref="Q2:Q4"/>
    <mergeCell ref="R2:R4"/>
    <mergeCell ref="C3:C4"/>
    <mergeCell ref="D3:D4"/>
    <mergeCell ref="E3:E4"/>
  </mergeCells>
  <pageMargins left="0.7" right="0.7" top="0.75" bottom="0.75" header="0.3" footer="0.3"/>
  <pageSetup paperSize="9" orientation="portrait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D32"/>
  <sheetViews>
    <sheetView workbookViewId="0">
      <selection activeCell="B9" sqref="B9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1"/>
      <c r="B3" s="100"/>
      <c r="C3" s="100"/>
      <c r="D3" s="100"/>
    </row>
    <row r="4" spans="1:4">
      <c r="A4" s="1"/>
      <c r="B4" s="1"/>
      <c r="C4" s="1"/>
      <c r="D4" s="1"/>
    </row>
    <row r="5" spans="1:4">
      <c r="A5" s="5"/>
      <c r="B5" s="101"/>
      <c r="C5" s="101"/>
      <c r="D5" s="101"/>
    </row>
    <row r="6" spans="1:4">
      <c r="A6" s="2"/>
      <c r="B6" s="2"/>
      <c r="C6" s="2"/>
      <c r="D6" s="13"/>
    </row>
    <row r="7" spans="1:4">
      <c r="A7" s="6" t="s">
        <v>0</v>
      </c>
      <c r="B7" s="6" t="s">
        <v>1</v>
      </c>
      <c r="C7" s="6" t="s">
        <v>2</v>
      </c>
      <c r="D7" s="6" t="s">
        <v>3</v>
      </c>
    </row>
    <row r="8" spans="1:4">
      <c r="A8" s="7">
        <v>1</v>
      </c>
      <c r="B8" s="8" t="s">
        <v>242</v>
      </c>
      <c r="C8" s="16" t="s">
        <v>228</v>
      </c>
      <c r="D8" s="14">
        <f>D9+D10</f>
        <v>179885.424</v>
      </c>
    </row>
    <row r="9" spans="1:4">
      <c r="A9" s="7">
        <v>2</v>
      </c>
      <c r="B9" s="9" t="s">
        <v>5</v>
      </c>
      <c r="C9" s="16" t="s">
        <v>228</v>
      </c>
      <c r="D9" s="15">
        <f>14.66*801.2*12</f>
        <v>140947.10399999999</v>
      </c>
    </row>
    <row r="10" spans="1:4">
      <c r="A10" s="7">
        <v>3</v>
      </c>
      <c r="B10" s="9" t="s">
        <v>6</v>
      </c>
      <c r="C10" s="16" t="s">
        <v>228</v>
      </c>
      <c r="D10" s="15">
        <f>4.05*801.2*12</f>
        <v>38938.32</v>
      </c>
    </row>
    <row r="11" spans="1:4">
      <c r="A11" s="7">
        <v>10</v>
      </c>
      <c r="B11" s="7"/>
      <c r="C11" s="7"/>
      <c r="D11" s="16"/>
    </row>
    <row r="12" spans="1:4">
      <c r="A12" s="7">
        <v>11</v>
      </c>
      <c r="B12" s="97" t="s">
        <v>9</v>
      </c>
      <c r="C12" s="98"/>
      <c r="D12" s="99"/>
    </row>
    <row r="13" spans="1:4">
      <c r="A13" s="7">
        <v>12</v>
      </c>
      <c r="B13" s="10" t="s">
        <v>10</v>
      </c>
      <c r="C13" s="16" t="s">
        <v>228</v>
      </c>
      <c r="D13" s="15">
        <f>12*801.2*2.29</f>
        <v>22016.976000000002</v>
      </c>
    </row>
    <row r="14" spans="1:4">
      <c r="A14" s="7">
        <v>14</v>
      </c>
      <c r="B14" s="10" t="s">
        <v>226</v>
      </c>
      <c r="C14" s="16" t="s">
        <v>228</v>
      </c>
      <c r="D14" s="15">
        <f>12*801.2*1.85</f>
        <v>17786.640000000003</v>
      </c>
    </row>
    <row r="15" spans="1:4">
      <c r="A15" s="7">
        <v>15</v>
      </c>
      <c r="B15" s="10" t="s">
        <v>229</v>
      </c>
      <c r="C15" s="16" t="s">
        <v>228</v>
      </c>
      <c r="D15" s="15">
        <v>25000</v>
      </c>
    </row>
    <row r="16" spans="1:4">
      <c r="A16" s="7">
        <v>16</v>
      </c>
      <c r="B16" s="10" t="s">
        <v>13</v>
      </c>
      <c r="C16" s="16" t="s">
        <v>228</v>
      </c>
      <c r="D16" s="15">
        <f>12*801.2*2.28</f>
        <v>21920.832000000002</v>
      </c>
    </row>
    <row r="17" spans="1:4">
      <c r="A17" s="7">
        <v>22</v>
      </c>
      <c r="B17" s="10" t="s">
        <v>16</v>
      </c>
      <c r="C17" s="16" t="s">
        <v>228</v>
      </c>
      <c r="D17" s="15">
        <f>12*801.2*1.68</f>
        <v>16152.192000000003</v>
      </c>
    </row>
    <row r="18" spans="1:4">
      <c r="A18" s="7">
        <v>23</v>
      </c>
      <c r="B18" s="10" t="s">
        <v>17</v>
      </c>
      <c r="C18" s="16" t="s">
        <v>228</v>
      </c>
      <c r="D18" s="15">
        <f>12*801.2*2.28</f>
        <v>21920.832000000002</v>
      </c>
    </row>
    <row r="19" spans="1:4">
      <c r="A19" s="7">
        <v>24</v>
      </c>
      <c r="B19" s="10" t="s">
        <v>18</v>
      </c>
      <c r="C19" s="16" t="s">
        <v>228</v>
      </c>
      <c r="D19" s="15">
        <f>12*801.2*1.19</f>
        <v>11441.136</v>
      </c>
    </row>
    <row r="20" spans="1:4">
      <c r="A20" s="7">
        <v>25</v>
      </c>
      <c r="B20" s="10" t="s">
        <v>19</v>
      </c>
      <c r="C20" s="16" t="s">
        <v>228</v>
      </c>
      <c r="D20" s="15">
        <f>12*801.2*2.66</f>
        <v>25574.304000000004</v>
      </c>
    </row>
    <row r="21" spans="1:4">
      <c r="A21" s="7">
        <v>26</v>
      </c>
      <c r="B21" s="10" t="s">
        <v>225</v>
      </c>
      <c r="C21" s="16" t="s">
        <v>228</v>
      </c>
      <c r="D21" s="15">
        <f>12*801.2*0.06</f>
        <v>576.86400000000003</v>
      </c>
    </row>
    <row r="22" spans="1:4">
      <c r="A22" s="7"/>
      <c r="B22" s="10" t="s">
        <v>239</v>
      </c>
      <c r="C22" s="16" t="s">
        <v>228</v>
      </c>
      <c r="D22" s="15">
        <f>12*801.2*0.37</f>
        <v>3557.3280000000004</v>
      </c>
    </row>
    <row r="23" spans="1:4">
      <c r="A23" s="7">
        <v>27</v>
      </c>
      <c r="B23" s="11" t="s">
        <v>20</v>
      </c>
      <c r="C23" s="16" t="s">
        <v>228</v>
      </c>
      <c r="D23" s="14">
        <f>D21+D20+D19+D18+D17+D16+D15+D14+D13+D22</f>
        <v>165947.10400000002</v>
      </c>
    </row>
    <row r="24" spans="1:4">
      <c r="A24" s="7">
        <v>28</v>
      </c>
      <c r="B24" s="8" t="s">
        <v>21</v>
      </c>
      <c r="C24" s="16" t="s">
        <v>228</v>
      </c>
      <c r="D24" s="14">
        <f>D9-D23</f>
        <v>-25000.000000000029</v>
      </c>
    </row>
    <row r="25" spans="1:4">
      <c r="A25" s="7">
        <v>29</v>
      </c>
      <c r="B25" s="97" t="s">
        <v>22</v>
      </c>
      <c r="C25" s="98"/>
      <c r="D25" s="99"/>
    </row>
    <row r="26" spans="1:4">
      <c r="A26" s="7">
        <v>30</v>
      </c>
      <c r="B26" s="8" t="s">
        <v>23</v>
      </c>
      <c r="C26" s="16" t="s">
        <v>228</v>
      </c>
      <c r="D26" s="14"/>
    </row>
    <row r="27" spans="1:4">
      <c r="A27" s="7">
        <v>35</v>
      </c>
      <c r="B27" s="9" t="s">
        <v>28</v>
      </c>
      <c r="C27" s="16" t="s">
        <v>228</v>
      </c>
      <c r="D27" s="93"/>
    </row>
    <row r="28" spans="1:4">
      <c r="A28" s="7">
        <v>42</v>
      </c>
      <c r="B28" s="9" t="s">
        <v>35</v>
      </c>
      <c r="C28" s="16" t="s">
        <v>228</v>
      </c>
      <c r="D28" s="93"/>
    </row>
    <row r="29" spans="1:4" ht="24">
      <c r="A29" s="7">
        <v>64</v>
      </c>
      <c r="B29" s="12" t="s">
        <v>59</v>
      </c>
      <c r="C29" s="16" t="s">
        <v>228</v>
      </c>
      <c r="D29" s="93"/>
    </row>
    <row r="30" spans="1:4">
      <c r="A30" s="7">
        <v>83</v>
      </c>
      <c r="B30" s="9" t="s">
        <v>80</v>
      </c>
      <c r="C30" s="16" t="s">
        <v>228</v>
      </c>
      <c r="D30" s="93"/>
    </row>
    <row r="31" spans="1:4">
      <c r="A31" s="7">
        <v>98</v>
      </c>
      <c r="B31" s="11" t="s">
        <v>20</v>
      </c>
      <c r="C31" s="16" t="s">
        <v>228</v>
      </c>
      <c r="D31" s="14">
        <f>D30+D29+D28+D27</f>
        <v>0</v>
      </c>
    </row>
    <row r="32" spans="1:4">
      <c r="A32" s="7">
        <v>103</v>
      </c>
      <c r="B32" s="8" t="s">
        <v>21</v>
      </c>
      <c r="C32" s="16" t="s">
        <v>228</v>
      </c>
      <c r="D32" s="14">
        <f>D10-D31</f>
        <v>38938.32</v>
      </c>
    </row>
  </sheetData>
  <mergeCells count="5">
    <mergeCell ref="A2:D2"/>
    <mergeCell ref="B3:D3"/>
    <mergeCell ref="B5:D5"/>
    <mergeCell ref="B12:D12"/>
    <mergeCell ref="B25:D25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D35"/>
  <sheetViews>
    <sheetView workbookViewId="0">
      <selection activeCell="B9" sqref="B9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1"/>
      <c r="B3" s="100"/>
      <c r="C3" s="100"/>
      <c r="D3" s="100"/>
    </row>
    <row r="4" spans="1:4">
      <c r="A4" s="1"/>
      <c r="B4" s="1"/>
      <c r="C4" s="1"/>
      <c r="D4" s="1"/>
    </row>
    <row r="5" spans="1:4">
      <c r="A5" s="5"/>
      <c r="B5" s="101"/>
      <c r="C5" s="101"/>
      <c r="D5" s="101"/>
    </row>
    <row r="6" spans="1:4">
      <c r="A6" s="2"/>
      <c r="B6" s="2"/>
      <c r="C6" s="2"/>
      <c r="D6" s="13"/>
    </row>
    <row r="7" spans="1:4">
      <c r="A7" s="6" t="s">
        <v>0</v>
      </c>
      <c r="B7" s="6" t="s">
        <v>1</v>
      </c>
      <c r="C7" s="6" t="s">
        <v>2</v>
      </c>
      <c r="D7" s="6" t="s">
        <v>3</v>
      </c>
    </row>
    <row r="8" spans="1:4">
      <c r="A8" s="7">
        <v>1</v>
      </c>
      <c r="B8" s="8" t="s">
        <v>242</v>
      </c>
      <c r="C8" s="16" t="s">
        <v>228</v>
      </c>
      <c r="D8" s="14">
        <f>D9+D10</f>
        <v>0</v>
      </c>
    </row>
    <row r="9" spans="1:4">
      <c r="A9" s="7">
        <v>2</v>
      </c>
      <c r="B9" s="9" t="s">
        <v>5</v>
      </c>
      <c r="C9" s="16" t="s">
        <v>228</v>
      </c>
      <c r="D9" s="15"/>
    </row>
    <row r="10" spans="1:4">
      <c r="A10" s="7">
        <v>3</v>
      </c>
      <c r="B10" s="9" t="s">
        <v>6</v>
      </c>
      <c r="C10" s="16" t="s">
        <v>228</v>
      </c>
      <c r="D10" s="15"/>
    </row>
    <row r="11" spans="1:4">
      <c r="A11" s="7">
        <v>10</v>
      </c>
      <c r="B11" s="7"/>
      <c r="C11" s="7"/>
      <c r="D11" s="16"/>
    </row>
    <row r="12" spans="1:4">
      <c r="A12" s="7">
        <v>11</v>
      </c>
      <c r="B12" s="97" t="s">
        <v>9</v>
      </c>
      <c r="C12" s="98"/>
      <c r="D12" s="99"/>
    </row>
    <row r="13" spans="1:4">
      <c r="A13" s="7">
        <v>12</v>
      </c>
      <c r="B13" s="10" t="s">
        <v>10</v>
      </c>
      <c r="C13" s="16" t="s">
        <v>228</v>
      </c>
      <c r="D13" s="15"/>
    </row>
    <row r="14" spans="1:4">
      <c r="A14" s="7">
        <v>14</v>
      </c>
      <c r="B14" s="10" t="s">
        <v>226</v>
      </c>
      <c r="C14" s="16" t="s">
        <v>228</v>
      </c>
      <c r="D14" s="15"/>
    </row>
    <row r="15" spans="1:4">
      <c r="A15" s="7">
        <v>15</v>
      </c>
      <c r="B15" s="10" t="s">
        <v>232</v>
      </c>
      <c r="C15" s="16" t="s">
        <v>228</v>
      </c>
      <c r="D15" s="15"/>
    </row>
    <row r="16" spans="1:4">
      <c r="A16" s="7">
        <v>16</v>
      </c>
      <c r="B16" s="10" t="s">
        <v>13</v>
      </c>
      <c r="C16" s="16" t="s">
        <v>228</v>
      </c>
      <c r="D16" s="15"/>
    </row>
    <row r="17" spans="1:4">
      <c r="A17" s="7">
        <v>22</v>
      </c>
      <c r="B17" s="10" t="s">
        <v>16</v>
      </c>
      <c r="C17" s="16" t="s">
        <v>228</v>
      </c>
      <c r="D17" s="15"/>
    </row>
    <row r="18" spans="1:4">
      <c r="A18" s="7">
        <v>23</v>
      </c>
      <c r="B18" s="10" t="s">
        <v>17</v>
      </c>
      <c r="C18" s="16" t="s">
        <v>228</v>
      </c>
      <c r="D18" s="15"/>
    </row>
    <row r="19" spans="1:4">
      <c r="A19" s="7">
        <v>24</v>
      </c>
      <c r="B19" s="10" t="s">
        <v>18</v>
      </c>
      <c r="C19" s="16" t="s">
        <v>228</v>
      </c>
      <c r="D19" s="15"/>
    </row>
    <row r="20" spans="1:4">
      <c r="A20" s="7">
        <v>25</v>
      </c>
      <c r="B20" s="10" t="s">
        <v>19</v>
      </c>
      <c r="C20" s="16" t="s">
        <v>228</v>
      </c>
      <c r="D20" s="15"/>
    </row>
    <row r="21" spans="1:4">
      <c r="A21" s="7">
        <v>26</v>
      </c>
      <c r="B21" s="10" t="s">
        <v>225</v>
      </c>
      <c r="C21" s="16" t="s">
        <v>228</v>
      </c>
      <c r="D21" s="15"/>
    </row>
    <row r="22" spans="1:4">
      <c r="A22" s="7">
        <v>27</v>
      </c>
      <c r="B22" s="11" t="s">
        <v>20</v>
      </c>
      <c r="C22" s="16" t="s">
        <v>228</v>
      </c>
      <c r="D22" s="14">
        <f>D21+D20+D19+D18+D17+D16+D15+D14+D13</f>
        <v>0</v>
      </c>
    </row>
    <row r="23" spans="1:4">
      <c r="A23" s="7">
        <v>28</v>
      </c>
      <c r="B23" s="8" t="s">
        <v>21</v>
      </c>
      <c r="C23" s="16" t="s">
        <v>228</v>
      </c>
      <c r="D23" s="14">
        <f>D9-D22</f>
        <v>0</v>
      </c>
    </row>
    <row r="24" spans="1:4">
      <c r="A24" s="7">
        <v>29</v>
      </c>
      <c r="B24" s="97" t="s">
        <v>22</v>
      </c>
      <c r="C24" s="98"/>
      <c r="D24" s="99"/>
    </row>
    <row r="25" spans="1:4">
      <c r="A25" s="7">
        <v>30</v>
      </c>
      <c r="B25" s="8" t="s">
        <v>23</v>
      </c>
      <c r="C25" s="16" t="s">
        <v>228</v>
      </c>
      <c r="D25" s="14"/>
    </row>
    <row r="26" spans="1:4">
      <c r="A26" s="7">
        <v>31</v>
      </c>
      <c r="B26" s="9" t="s">
        <v>24</v>
      </c>
      <c r="C26" s="16" t="s">
        <v>228</v>
      </c>
      <c r="D26" s="15"/>
    </row>
    <row r="27" spans="1:4">
      <c r="A27" s="7">
        <v>33</v>
      </c>
      <c r="B27" s="9" t="s">
        <v>26</v>
      </c>
      <c r="C27" s="16" t="s">
        <v>228</v>
      </c>
      <c r="D27" s="15"/>
    </row>
    <row r="28" spans="1:4">
      <c r="A28" s="7">
        <v>35</v>
      </c>
      <c r="B28" s="9" t="s">
        <v>28</v>
      </c>
      <c r="C28" s="16" t="s">
        <v>228</v>
      </c>
      <c r="D28" s="15"/>
    </row>
    <row r="29" spans="1:4">
      <c r="A29" s="7">
        <v>42</v>
      </c>
      <c r="B29" s="9" t="s">
        <v>35</v>
      </c>
      <c r="C29" s="16" t="s">
        <v>228</v>
      </c>
      <c r="D29" s="15"/>
    </row>
    <row r="30" spans="1:4">
      <c r="A30" s="7">
        <v>68</v>
      </c>
      <c r="B30" s="9" t="s">
        <v>63</v>
      </c>
      <c r="C30" s="16" t="s">
        <v>228</v>
      </c>
      <c r="D30" s="15"/>
    </row>
    <row r="31" spans="1:4">
      <c r="A31" s="7">
        <v>75</v>
      </c>
      <c r="B31" s="9" t="s">
        <v>70</v>
      </c>
      <c r="C31" s="16" t="s">
        <v>228</v>
      </c>
      <c r="D31" s="15"/>
    </row>
    <row r="32" spans="1:4">
      <c r="A32" s="7">
        <v>83</v>
      </c>
      <c r="B32" s="9" t="s">
        <v>80</v>
      </c>
      <c r="C32" s="16" t="s">
        <v>228</v>
      </c>
      <c r="D32" s="15"/>
    </row>
    <row r="33" spans="1:4">
      <c r="A33" s="7">
        <v>97</v>
      </c>
      <c r="B33" s="9" t="s">
        <v>231</v>
      </c>
      <c r="C33" s="16" t="s">
        <v>228</v>
      </c>
      <c r="D33" s="15"/>
    </row>
    <row r="34" spans="1:4">
      <c r="A34" s="7">
        <v>98</v>
      </c>
      <c r="B34" s="11" t="s">
        <v>20</v>
      </c>
      <c r="C34" s="16" t="s">
        <v>228</v>
      </c>
      <c r="D34" s="14">
        <f>D33+D32+D31+D30+D29+D28+D27+D26</f>
        <v>0</v>
      </c>
    </row>
    <row r="35" spans="1:4">
      <c r="A35" s="7">
        <v>103</v>
      </c>
      <c r="B35" s="8" t="s">
        <v>21</v>
      </c>
      <c r="C35" s="16" t="s">
        <v>228</v>
      </c>
      <c r="D35" s="14">
        <f>D10-D34</f>
        <v>0</v>
      </c>
    </row>
  </sheetData>
  <mergeCells count="5">
    <mergeCell ref="A2:D2"/>
    <mergeCell ref="B3:D3"/>
    <mergeCell ref="B5:D5"/>
    <mergeCell ref="B12:D12"/>
    <mergeCell ref="B24:D24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D32"/>
  <sheetViews>
    <sheetView workbookViewId="0">
      <selection activeCell="B9" sqref="B9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1"/>
      <c r="B3" s="100"/>
      <c r="C3" s="100"/>
      <c r="D3" s="100"/>
    </row>
    <row r="4" spans="1:4">
      <c r="A4" s="1"/>
      <c r="B4" s="1"/>
      <c r="C4" s="1"/>
      <c r="D4" s="1"/>
    </row>
    <row r="5" spans="1:4">
      <c r="A5" s="5"/>
      <c r="B5" s="101"/>
      <c r="C5" s="101"/>
      <c r="D5" s="101"/>
    </row>
    <row r="6" spans="1:4">
      <c r="A6" s="2"/>
      <c r="B6" s="2"/>
      <c r="C6" s="2"/>
      <c r="D6" s="13"/>
    </row>
    <row r="7" spans="1:4">
      <c r="A7" s="6" t="s">
        <v>0</v>
      </c>
      <c r="B7" s="6" t="s">
        <v>1</v>
      </c>
      <c r="C7" s="6" t="s">
        <v>2</v>
      </c>
      <c r="D7" s="6" t="s">
        <v>3</v>
      </c>
    </row>
    <row r="8" spans="1:4">
      <c r="A8" s="7">
        <v>1</v>
      </c>
      <c r="B8" s="8" t="s">
        <v>242</v>
      </c>
      <c r="C8" s="16" t="s">
        <v>228</v>
      </c>
      <c r="D8" s="14">
        <f>D9+D10</f>
        <v>195781.44</v>
      </c>
    </row>
    <row r="9" spans="1:4">
      <c r="A9" s="7">
        <v>2</v>
      </c>
      <c r="B9" s="9" t="s">
        <v>5</v>
      </c>
      <c r="C9" s="16" t="s">
        <v>228</v>
      </c>
      <c r="D9" s="15">
        <f>14.66*872*12</f>
        <v>153402.23999999999</v>
      </c>
    </row>
    <row r="10" spans="1:4">
      <c r="A10" s="7">
        <v>3</v>
      </c>
      <c r="B10" s="9" t="s">
        <v>6</v>
      </c>
      <c r="C10" s="16" t="s">
        <v>228</v>
      </c>
      <c r="D10" s="15">
        <f>4.05*872*12</f>
        <v>42379.199999999997</v>
      </c>
    </row>
    <row r="11" spans="1:4">
      <c r="A11" s="7">
        <v>10</v>
      </c>
      <c r="B11" s="7"/>
      <c r="C11" s="7"/>
      <c r="D11" s="16"/>
    </row>
    <row r="12" spans="1:4">
      <c r="A12" s="7">
        <v>11</v>
      </c>
      <c r="B12" s="97" t="s">
        <v>9</v>
      </c>
      <c r="C12" s="98"/>
      <c r="D12" s="99"/>
    </row>
    <row r="13" spans="1:4">
      <c r="A13" s="7">
        <v>12</v>
      </c>
      <c r="B13" s="10" t="s">
        <v>10</v>
      </c>
      <c r="C13" s="16" t="s">
        <v>228</v>
      </c>
      <c r="D13" s="15">
        <f>12*872*2.29</f>
        <v>23962.560000000001</v>
      </c>
    </row>
    <row r="14" spans="1:4">
      <c r="A14" s="7">
        <v>14</v>
      </c>
      <c r="B14" s="10" t="s">
        <v>226</v>
      </c>
      <c r="C14" s="16" t="s">
        <v>228</v>
      </c>
      <c r="D14" s="15">
        <f>12*872*1.85</f>
        <v>19358.400000000001</v>
      </c>
    </row>
    <row r="15" spans="1:4">
      <c r="A15" s="7">
        <v>15</v>
      </c>
      <c r="B15" s="10" t="s">
        <v>229</v>
      </c>
      <c r="C15" s="16" t="s">
        <v>228</v>
      </c>
      <c r="D15" s="15">
        <v>25000</v>
      </c>
    </row>
    <row r="16" spans="1:4">
      <c r="A16" s="7">
        <v>16</v>
      </c>
      <c r="B16" s="10" t="s">
        <v>13</v>
      </c>
      <c r="C16" s="16" t="s">
        <v>228</v>
      </c>
      <c r="D16" s="15">
        <f>12*872*2.28</f>
        <v>23857.919999999998</v>
      </c>
    </row>
    <row r="17" spans="1:4">
      <c r="A17" s="7">
        <v>22</v>
      </c>
      <c r="B17" s="10" t="s">
        <v>16</v>
      </c>
      <c r="C17" s="16" t="s">
        <v>228</v>
      </c>
      <c r="D17" s="15">
        <f>12*872*1.68</f>
        <v>17579.52</v>
      </c>
    </row>
    <row r="18" spans="1:4">
      <c r="A18" s="7">
        <v>23</v>
      </c>
      <c r="B18" s="10" t="s">
        <v>17</v>
      </c>
      <c r="C18" s="16" t="s">
        <v>228</v>
      </c>
      <c r="D18" s="15">
        <f>12*872*2.28</f>
        <v>23857.919999999998</v>
      </c>
    </row>
    <row r="19" spans="1:4">
      <c r="A19" s="7">
        <v>24</v>
      </c>
      <c r="B19" s="10" t="s">
        <v>18</v>
      </c>
      <c r="C19" s="16" t="s">
        <v>228</v>
      </c>
      <c r="D19" s="15">
        <f>12*872*1.19</f>
        <v>12452.16</v>
      </c>
    </row>
    <row r="20" spans="1:4">
      <c r="A20" s="7">
        <v>25</v>
      </c>
      <c r="B20" s="10" t="s">
        <v>19</v>
      </c>
      <c r="C20" s="16" t="s">
        <v>228</v>
      </c>
      <c r="D20" s="15">
        <f>12*872*2.66</f>
        <v>27834.240000000002</v>
      </c>
    </row>
    <row r="21" spans="1:4">
      <c r="A21" s="7">
        <v>26</v>
      </c>
      <c r="B21" s="10" t="s">
        <v>225</v>
      </c>
      <c r="C21" s="16" t="s">
        <v>228</v>
      </c>
      <c r="D21" s="15">
        <f>12*872*0.06</f>
        <v>627.84</v>
      </c>
    </row>
    <row r="22" spans="1:4">
      <c r="A22" s="7"/>
      <c r="B22" s="10" t="s">
        <v>239</v>
      </c>
      <c r="C22" s="16" t="s">
        <v>228</v>
      </c>
      <c r="D22" s="15">
        <f>12*872*0.37</f>
        <v>3871.68</v>
      </c>
    </row>
    <row r="23" spans="1:4">
      <c r="A23" s="7">
        <v>27</v>
      </c>
      <c r="B23" s="11" t="s">
        <v>20</v>
      </c>
      <c r="C23" s="16" t="s">
        <v>228</v>
      </c>
      <c r="D23" s="14">
        <f>D21+D20+D19+D18+D17+D16+D15+D14+D13+D22</f>
        <v>178402.24</v>
      </c>
    </row>
    <row r="24" spans="1:4">
      <c r="A24" s="7">
        <v>28</v>
      </c>
      <c r="B24" s="8" t="s">
        <v>21</v>
      </c>
      <c r="C24" s="16" t="s">
        <v>228</v>
      </c>
      <c r="D24" s="14">
        <f>D9-D23</f>
        <v>-25000</v>
      </c>
    </row>
    <row r="25" spans="1:4">
      <c r="A25" s="7">
        <v>29</v>
      </c>
      <c r="B25" s="97" t="s">
        <v>22</v>
      </c>
      <c r="C25" s="98"/>
      <c r="D25" s="99"/>
    </row>
    <row r="26" spans="1:4">
      <c r="A26" s="7">
        <v>30</v>
      </c>
      <c r="B26" s="8" t="s">
        <v>23</v>
      </c>
      <c r="C26" s="16"/>
      <c r="D26" s="14"/>
    </row>
    <row r="27" spans="1:4">
      <c r="A27" s="7">
        <v>31</v>
      </c>
      <c r="B27" s="9" t="s">
        <v>24</v>
      </c>
      <c r="C27" s="16" t="s">
        <v>228</v>
      </c>
      <c r="D27" s="93"/>
    </row>
    <row r="28" spans="1:4">
      <c r="A28" s="7">
        <v>35</v>
      </c>
      <c r="B28" s="9" t="s">
        <v>28</v>
      </c>
      <c r="C28" s="16" t="s">
        <v>228</v>
      </c>
      <c r="D28" s="93"/>
    </row>
    <row r="29" spans="1:4">
      <c r="A29" s="7">
        <v>75</v>
      </c>
      <c r="B29" s="9" t="s">
        <v>70</v>
      </c>
      <c r="C29" s="16" t="s">
        <v>228</v>
      </c>
      <c r="D29" s="93"/>
    </row>
    <row r="30" spans="1:4">
      <c r="A30" s="7">
        <v>83</v>
      </c>
      <c r="B30" s="9" t="s">
        <v>80</v>
      </c>
      <c r="C30" s="16" t="s">
        <v>228</v>
      </c>
      <c r="D30" s="93"/>
    </row>
    <row r="31" spans="1:4">
      <c r="A31" s="92">
        <f>D30+D29+D28+D27</f>
        <v>0</v>
      </c>
      <c r="B31" s="11" t="s">
        <v>20</v>
      </c>
      <c r="C31" s="16" t="s">
        <v>228</v>
      </c>
      <c r="D31" s="14">
        <f>D30+D29+D28+D27</f>
        <v>0</v>
      </c>
    </row>
    <row r="32" spans="1:4">
      <c r="A32" s="7">
        <v>103</v>
      </c>
      <c r="B32" s="8" t="s">
        <v>21</v>
      </c>
      <c r="C32" s="16" t="s">
        <v>228</v>
      </c>
      <c r="D32" s="14">
        <f>D10-D31</f>
        <v>42379.199999999997</v>
      </c>
    </row>
  </sheetData>
  <mergeCells count="5">
    <mergeCell ref="A2:D2"/>
    <mergeCell ref="B3:D3"/>
    <mergeCell ref="B5:D5"/>
    <mergeCell ref="B12:D12"/>
    <mergeCell ref="B25:D25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workbookViewId="0">
      <selection activeCell="B9" sqref="B9"/>
    </sheetView>
  </sheetViews>
  <sheetFormatPr defaultRowHeight="12"/>
  <cols>
    <col min="1" max="1" width="2.88671875" style="4" customWidth="1"/>
    <col min="2" max="2" width="39.77734375" style="4" customWidth="1"/>
    <col min="3" max="3" width="10" style="4" customWidth="1"/>
    <col min="4" max="4" width="14.5546875" style="17" customWidth="1"/>
    <col min="5" max="16384" width="8.88671875" style="4"/>
  </cols>
  <sheetData>
    <row r="1" spans="1:4">
      <c r="A1" s="2"/>
      <c r="B1" s="2"/>
      <c r="C1" s="2"/>
      <c r="D1" s="3"/>
    </row>
    <row r="2" spans="1:4" ht="30" customHeight="1">
      <c r="A2" s="96" t="s">
        <v>241</v>
      </c>
      <c r="B2" s="96"/>
      <c r="C2" s="96"/>
      <c r="D2" s="96"/>
    </row>
    <row r="3" spans="1:4">
      <c r="A3" s="1"/>
      <c r="B3" s="100"/>
      <c r="C3" s="100"/>
      <c r="D3" s="100"/>
    </row>
    <row r="4" spans="1:4">
      <c r="A4" s="1"/>
      <c r="B4" s="1"/>
      <c r="C4" s="1"/>
      <c r="D4" s="1"/>
    </row>
    <row r="5" spans="1:4">
      <c r="A5" s="5"/>
      <c r="B5" s="101"/>
      <c r="C5" s="101"/>
      <c r="D5" s="101"/>
    </row>
    <row r="6" spans="1:4">
      <c r="A6" s="2"/>
      <c r="B6" s="2"/>
      <c r="C6" s="2"/>
      <c r="D6" s="13"/>
    </row>
    <row r="7" spans="1:4">
      <c r="A7" s="6" t="s">
        <v>0</v>
      </c>
      <c r="B7" s="6" t="s">
        <v>1</v>
      </c>
      <c r="C7" s="6" t="s">
        <v>2</v>
      </c>
      <c r="D7" s="6" t="s">
        <v>3</v>
      </c>
    </row>
    <row r="8" spans="1:4">
      <c r="A8" s="7">
        <v>1</v>
      </c>
      <c r="B8" s="8" t="s">
        <v>242</v>
      </c>
      <c r="C8" s="16" t="s">
        <v>228</v>
      </c>
      <c r="D8" s="14">
        <f>D9+D10</f>
        <v>178179.07200000001</v>
      </c>
    </row>
    <row r="9" spans="1:4">
      <c r="A9" s="7">
        <v>2</v>
      </c>
      <c r="B9" s="9" t="s">
        <v>5</v>
      </c>
      <c r="C9" s="16" t="s">
        <v>228</v>
      </c>
      <c r="D9" s="15">
        <f>14.66*793.6*12</f>
        <v>139610.11200000002</v>
      </c>
    </row>
    <row r="10" spans="1:4">
      <c r="A10" s="7">
        <v>3</v>
      </c>
      <c r="B10" s="9" t="s">
        <v>6</v>
      </c>
      <c r="C10" s="16" t="s">
        <v>228</v>
      </c>
      <c r="D10" s="15">
        <f>4.05*793.6*12</f>
        <v>38568.959999999999</v>
      </c>
    </row>
    <row r="11" spans="1:4">
      <c r="A11" s="7">
        <v>10</v>
      </c>
      <c r="B11" s="7"/>
      <c r="C11" s="7"/>
      <c r="D11" s="16"/>
    </row>
    <row r="12" spans="1:4">
      <c r="A12" s="7">
        <v>11</v>
      </c>
      <c r="B12" s="97" t="s">
        <v>9</v>
      </c>
      <c r="C12" s="98"/>
      <c r="D12" s="99"/>
    </row>
    <row r="13" spans="1:4">
      <c r="A13" s="7">
        <v>12</v>
      </c>
      <c r="B13" s="10" t="s">
        <v>10</v>
      </c>
      <c r="C13" s="16" t="s">
        <v>228</v>
      </c>
      <c r="D13" s="15">
        <f>12*793.6*2.29</f>
        <v>21808.128000000001</v>
      </c>
    </row>
    <row r="14" spans="1:4">
      <c r="A14" s="7">
        <v>14</v>
      </c>
      <c r="B14" s="10" t="s">
        <v>226</v>
      </c>
      <c r="C14" s="16" t="s">
        <v>228</v>
      </c>
      <c r="D14" s="15">
        <f>12*793.6*1.85</f>
        <v>17617.920000000002</v>
      </c>
    </row>
    <row r="15" spans="1:4">
      <c r="A15" s="7">
        <v>15</v>
      </c>
      <c r="B15" s="10" t="s">
        <v>229</v>
      </c>
      <c r="C15" s="16" t="s">
        <v>228</v>
      </c>
      <c r="D15" s="15">
        <v>20000</v>
      </c>
    </row>
    <row r="16" spans="1:4">
      <c r="A16" s="7">
        <v>16</v>
      </c>
      <c r="B16" s="10" t="s">
        <v>13</v>
      </c>
      <c r="C16" s="16" t="s">
        <v>228</v>
      </c>
      <c r="D16" s="15">
        <f>12*793.6*2.28</f>
        <v>21712.896000000001</v>
      </c>
    </row>
    <row r="17" spans="1:4">
      <c r="A17" s="7">
        <v>22</v>
      </c>
      <c r="B17" s="10" t="s">
        <v>16</v>
      </c>
      <c r="C17" s="16" t="s">
        <v>228</v>
      </c>
      <c r="D17" s="15">
        <f>12*793.6*1.68</f>
        <v>15998.976000000001</v>
      </c>
    </row>
    <row r="18" spans="1:4">
      <c r="A18" s="7">
        <v>23</v>
      </c>
      <c r="B18" s="10" t="s">
        <v>17</v>
      </c>
      <c r="C18" s="16" t="s">
        <v>228</v>
      </c>
      <c r="D18" s="15">
        <f>12*793.6*2.28</f>
        <v>21712.896000000001</v>
      </c>
    </row>
    <row r="19" spans="1:4">
      <c r="A19" s="7">
        <v>24</v>
      </c>
      <c r="B19" s="10" t="s">
        <v>18</v>
      </c>
      <c r="C19" s="16" t="s">
        <v>228</v>
      </c>
      <c r="D19" s="15">
        <f>12*793.6*1.19</f>
        <v>11332.608</v>
      </c>
    </row>
    <row r="20" spans="1:4">
      <c r="A20" s="7">
        <v>25</v>
      </c>
      <c r="B20" s="10" t="s">
        <v>19</v>
      </c>
      <c r="C20" s="16" t="s">
        <v>228</v>
      </c>
      <c r="D20" s="15">
        <f>12*793.6*2.66</f>
        <v>25331.712000000003</v>
      </c>
    </row>
    <row r="21" spans="1:4">
      <c r="A21" s="7">
        <v>26</v>
      </c>
      <c r="B21" s="10" t="s">
        <v>225</v>
      </c>
      <c r="C21" s="16" t="s">
        <v>228</v>
      </c>
      <c r="D21" s="15">
        <f>12*793.6*0.06</f>
        <v>571.39200000000005</v>
      </c>
    </row>
    <row r="22" spans="1:4">
      <c r="A22" s="7"/>
      <c r="B22" s="10" t="s">
        <v>239</v>
      </c>
      <c r="C22" s="16" t="s">
        <v>228</v>
      </c>
      <c r="D22" s="15">
        <f>12*793.6*0.37</f>
        <v>3523.5840000000003</v>
      </c>
    </row>
    <row r="23" spans="1:4">
      <c r="A23" s="7">
        <v>27</v>
      </c>
      <c r="B23" s="11" t="s">
        <v>20</v>
      </c>
      <c r="C23" s="16" t="s">
        <v>228</v>
      </c>
      <c r="D23" s="14">
        <f>D21+D20+D19+D18+D17+D16+D15+D14+D13+D22</f>
        <v>159610.11200000002</v>
      </c>
    </row>
    <row r="24" spans="1:4">
      <c r="A24" s="7">
        <v>28</v>
      </c>
      <c r="B24" s="8" t="s">
        <v>21</v>
      </c>
      <c r="C24" s="16" t="s">
        <v>228</v>
      </c>
      <c r="D24" s="14">
        <f>D9-D23</f>
        <v>-20000</v>
      </c>
    </row>
    <row r="25" spans="1:4">
      <c r="A25" s="7">
        <v>29</v>
      </c>
      <c r="B25" s="97" t="s">
        <v>22</v>
      </c>
      <c r="C25" s="98"/>
      <c r="D25" s="99"/>
    </row>
    <row r="26" spans="1:4">
      <c r="A26" s="7">
        <v>30</v>
      </c>
      <c r="B26" s="8" t="s">
        <v>23</v>
      </c>
      <c r="C26" s="16" t="s">
        <v>228</v>
      </c>
      <c r="D26" s="14"/>
    </row>
    <row r="27" spans="1:4">
      <c r="A27" s="7">
        <v>33</v>
      </c>
      <c r="B27" s="9" t="s">
        <v>26</v>
      </c>
      <c r="C27" s="16" t="s">
        <v>228</v>
      </c>
      <c r="D27" s="93"/>
    </row>
    <row r="28" spans="1:4">
      <c r="A28" s="7">
        <v>35</v>
      </c>
      <c r="B28" s="9" t="s">
        <v>28</v>
      </c>
      <c r="C28" s="16" t="s">
        <v>228</v>
      </c>
      <c r="D28" s="93"/>
    </row>
    <row r="29" spans="1:4">
      <c r="A29" s="7">
        <v>42</v>
      </c>
      <c r="B29" s="9" t="s">
        <v>35</v>
      </c>
      <c r="C29" s="16" t="s">
        <v>228</v>
      </c>
      <c r="D29" s="93"/>
    </row>
    <row r="30" spans="1:4">
      <c r="A30" s="7">
        <v>68</v>
      </c>
      <c r="B30" s="9" t="s">
        <v>230</v>
      </c>
      <c r="C30" s="16" t="s">
        <v>228</v>
      </c>
      <c r="D30" s="93"/>
    </row>
    <row r="31" spans="1:4">
      <c r="A31" s="7">
        <v>83</v>
      </c>
      <c r="B31" s="9" t="s">
        <v>80</v>
      </c>
      <c r="C31" s="16" t="s">
        <v>228</v>
      </c>
      <c r="D31" s="93"/>
    </row>
    <row r="32" spans="1:4">
      <c r="A32" s="7">
        <v>98</v>
      </c>
      <c r="B32" s="11" t="s">
        <v>20</v>
      </c>
      <c r="C32" s="16" t="s">
        <v>228</v>
      </c>
      <c r="D32" s="14">
        <f>D31+D30+D29+D28+D27</f>
        <v>0</v>
      </c>
    </row>
    <row r="33" spans="1:4">
      <c r="A33" s="7">
        <v>103</v>
      </c>
      <c r="B33" s="8" t="s">
        <v>21</v>
      </c>
      <c r="C33" s="16" t="s">
        <v>228</v>
      </c>
      <c r="D33" s="14">
        <f>D10-D32</f>
        <v>38568.959999999999</v>
      </c>
    </row>
  </sheetData>
  <mergeCells count="5">
    <mergeCell ref="A2:D2"/>
    <mergeCell ref="B3:D3"/>
    <mergeCell ref="B5:D5"/>
    <mergeCell ref="B12:D12"/>
    <mergeCell ref="B25:D25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1</vt:lpstr>
      <vt:lpstr>2</vt:lpstr>
      <vt:lpstr>3</vt:lpstr>
      <vt:lpstr>4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31</vt:lpstr>
      <vt:lpstr>32</vt:lpstr>
      <vt:lpstr>33</vt:lpstr>
      <vt:lpstr>34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Лист8</vt:lpstr>
      <vt:lpstr>тариф</vt:lpstr>
      <vt:lpstr>площадь</vt:lpstr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2013-05-23T01:51:18Z</cp:lastPrinted>
  <dcterms:created xsi:type="dcterms:W3CDTF">2013-04-23T07:29:32Z</dcterms:created>
  <dcterms:modified xsi:type="dcterms:W3CDTF">2014-08-27T08:23:52Z</dcterms:modified>
</cp:coreProperties>
</file>